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Fixed %" sheetId="2" state="visible" r:id="rId2"/>
    <sheet xmlns:r="http://schemas.openxmlformats.org/officeDocument/2006/relationships" name="CPI plus margin" sheetId="3" state="visible" r:id="rId3"/>
    <sheet xmlns:r="http://schemas.openxmlformats.org/officeDocument/2006/relationships" name="Compound vs simple" sheetId="4" state="visible" r:id="rId4"/>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000128"/>
      <sz val="14"/>
    </font>
    <font>
      <i val="1"/>
      <color rgb="006B7280"/>
      <sz val="9"/>
    </font>
    <font>
      <b val="1"/>
      <color rgb="00374151"/>
    </font>
    <font>
      <b val="1"/>
      <color rgb="006B7280"/>
      <sz val="9"/>
    </font>
  </fonts>
  <fills count="4">
    <fill>
      <patternFill/>
    </fill>
    <fill>
      <patternFill patternType="gray125"/>
    </fill>
    <fill>
      <patternFill patternType="solid">
        <fgColor rgb="00EAF2FF"/>
      </patternFill>
    </fill>
    <fill>
      <patternFill patternType="solid">
        <fgColor rgb="00F3F4F6"/>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0" borderId="0" pivotButton="0" quotePrefix="0" xfId="0"/>
    <xf numFmtId="4" fontId="0" fillId="2" borderId="1" pivotButton="0" quotePrefix="0" xfId="0"/>
    <xf numFmtId="49" fontId="0" fillId="2" borderId="1" pivotButton="0" quotePrefix="0" xfId="0"/>
    <xf numFmtId="2" fontId="0" fillId="2" borderId="1" pivotButton="0" quotePrefix="0" xfId="0"/>
    <xf numFmtId="1" fontId="0" fillId="2" borderId="1" pivotButton="0" quotePrefix="0" xfId="0"/>
    <xf numFmtId="0" fontId="4" fillId="3" borderId="0" applyAlignment="1" pivotButton="0" quotePrefix="0" xfId="0">
      <alignment horizontal="center" wrapText="1"/>
    </xf>
    <xf numFmtId="2" fontId="0" fillId="0" borderId="0" pivotButton="0" quotePrefix="0" xfId="0"/>
    <xf numFmtId="4" fontId="0" fillId="0" borderId="0" pivotButton="0" quotePrefix="0" xfId="0"/>
    <xf numFmtId="164" fontId="0" fillId="2" borderId="1" pivotButton="0" quotePrefix="0" xfId="0"/>
    <xf numFmtId="164"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 t="inlineStr">
        <is>
          <t>Rent escalation schedule workbook</t>
        </is>
      </c>
    </row>
    <row r="2">
      <c r="A2" s="2" t="inlineStr">
        <is>
          <t>Free from MYX Analyzer (analyzer.myxrobotics.com/escalation-calculator.html). Live formulas; change the blue input cells only.</t>
        </is>
      </c>
    </row>
    <row r="4">
      <c r="A4" s="3" t="inlineStr">
        <is>
          <t>Three sheets, each with its inputs at the top (blue cells) and a schedule below driven by formulas:</t>
        </is>
      </c>
    </row>
    <row r="5">
      <c r="A5" s="3" t="inlineStr">
        <is>
          <t>1. Fixed %: a stated percentage at every adjustment, compounding (on the rent then in force) or simple (on the initial rent), with an optional cap and collar per adjustment.</t>
        </is>
      </c>
    </row>
    <row r="6">
      <c r="A6" s="3" t="inlineStr">
        <is>
          <t>2. CPI plus margin: index-linked escalation. Enter the base index and the index at the first review; later reviews use the assumed annual index change until you replace the projected index with the published value.</t>
        </is>
      </c>
    </row>
    <row r="7">
      <c r="A7" s="3" t="inlineStr">
        <is>
          <t>3. Compound vs simple: the same rate applied both ways, side by side, to show how far the two readings drift over a term.</t>
        </is>
      </c>
    </row>
    <row r="8">
      <c r="A8" s="3" t="inlineStr">
        <is>
          <t>Conventions: rents are per period (monthly rent gives monthly outputs; the annual column multiplies by 12). Percentages are entered as numbers (3.5 means 3.5%). Leave the cap or collar blank for none.</t>
        </is>
      </c>
    </row>
    <row r="9">
      <c r="A9" s="3" t="inlineStr">
        <is>
          <t>Index values: take them from the office the lease names (bls.gov for US CPI-U, ons.gov.uk for UK CPI and RPI, destatis.de for the German VPI, insee.fr for ILAT, ILC, ICC, IRL and the French CPI). The example values are placeholders, not published figures.</t>
        </is>
      </c>
    </row>
    <row r="10">
      <c r="A10" s="3" t="inlineStr">
        <is>
          <t>The wording of the clause decides how the margin applies and whether reviews compound; extract the clause verbatim before you model it. Method and worked example: analyzer.myxrobotics.com/cpi-rent-escalation.html.</t>
        </is>
      </c>
    </row>
    <row r="11">
      <c r="A11" s="3" t="inlineStr">
        <is>
          <t>MYX Analyzer extracts escalation type, index, margin and review dates from every lease with a confidence level and a page reference on each value: analyzer.myxrobotics.com/rent-calculation.html.</t>
        </is>
      </c>
    </row>
    <row r="12">
      <c r="A12" s="3" t="inlineStr">
        <is>
          <t>Provided free by MYX (MYX AD). Use and share freely inside your organization.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6"/>
  <sheetViews>
    <sheetView workbookViewId="0">
      <pane ySplit="13" topLeftCell="A14" activePane="bottomLeft" state="frozen"/>
      <selection pane="bottomLeft" activeCell="A1" sqref="A1"/>
    </sheetView>
  </sheetViews>
  <sheetFormatPr baseColWidth="8" defaultRowHeight="15"/>
  <cols>
    <col width="34" customWidth="1" min="1" max="1"/>
    <col width="16" customWidth="1" min="2" max="2"/>
    <col width="60" customWidth="1" min="3" max="3"/>
    <col width="22" customWidth="1" min="4" max="4"/>
    <col width="22" customWidth="1" min="5" max="5"/>
  </cols>
  <sheetData>
    <row r="1">
      <c r="A1" s="1" t="inlineStr">
        <is>
          <t>Fixed-percentage escalation</t>
        </is>
      </c>
    </row>
    <row r="2">
      <c r="A2" s="2" t="inlineStr">
        <is>
          <t>Each adjustment multiplies the rent by (1 + rate). Compounding applies the rate to the rent then in force; simple adds the same amount computed on the initial rent.</t>
        </is>
      </c>
    </row>
    <row r="4">
      <c r="A4" s="4" t="inlineStr">
        <is>
          <t>Base rent per period</t>
        </is>
      </c>
      <c r="B4" s="5" t="n">
        <v>2000</v>
      </c>
      <c r="C4" s="2" t="inlineStr">
        <is>
          <t>Illustrative input</t>
        </is>
      </c>
    </row>
    <row r="5">
      <c r="A5" s="4" t="inlineStr">
        <is>
          <t>Currency label</t>
        </is>
      </c>
      <c r="B5" s="6" t="inlineStr">
        <is>
          <t>USD</t>
        </is>
      </c>
      <c r="C5" s="2" t="inlineStr">
        <is>
          <t>Text only</t>
        </is>
      </c>
    </row>
    <row r="6">
      <c r="A6" s="4" t="inlineStr">
        <is>
          <t>Escalation % per adjustment</t>
        </is>
      </c>
      <c r="B6" s="7" t="n">
        <v>3</v>
      </c>
      <c r="C6" s="2" t="inlineStr">
        <is>
          <t>3 means 3%</t>
        </is>
      </c>
    </row>
    <row r="7">
      <c r="A7" s="4" t="inlineStr">
        <is>
          <t>Compounding (1 = yes, 0 = simple)</t>
        </is>
      </c>
      <c r="B7" s="8" t="n">
        <v>1</v>
      </c>
      <c r="C7" s="2" t="inlineStr">
        <is>
          <t>1: rate applies to the escalated rent; 0: each step adds base × rate</t>
        </is>
      </c>
    </row>
    <row r="8">
      <c r="A8" s="4" t="inlineStr">
        <is>
          <t>Cap % per adjustment (blank = none)</t>
        </is>
      </c>
      <c r="B8" s="7" t="n"/>
      <c r="C8" s="2" t="inlineStr">
        <is>
          <t>Largest change allowed at one adjustment</t>
        </is>
      </c>
    </row>
    <row r="9">
      <c r="A9" s="4" t="inlineStr">
        <is>
          <t>Collar % per adjustment (blank = none)</t>
        </is>
      </c>
      <c r="B9" s="7" t="n"/>
      <c r="C9" s="2" t="inlineStr">
        <is>
          <t>Smallest change allowed at one adjustment (0 prevents decreases)</t>
        </is>
      </c>
    </row>
    <row r="10">
      <c r="A10" s="4" t="inlineStr">
        <is>
          <t>Adjustments to show (1 to 30)</t>
        </is>
      </c>
      <c r="B10" s="8" t="n">
        <v>10</v>
      </c>
      <c r="C10" s="2" t="inlineStr">
        <is>
          <t>Rows beyond this number stay blank</t>
        </is>
      </c>
    </row>
    <row r="13">
      <c r="A13" s="9" t="inlineStr">
        <is>
          <t>Adjustment #</t>
        </is>
      </c>
      <c r="B13" s="9" t="inlineStr">
        <is>
          <t>Change applied %</t>
        </is>
      </c>
      <c r="C13" s="9" t="inlineStr">
        <is>
          <t>Rent per period</t>
        </is>
      </c>
      <c r="D13" s="9" t="inlineStr">
        <is>
          <t>Annual rent (×12)</t>
        </is>
      </c>
      <c r="E13" s="9" t="inlineStr">
        <is>
          <t>Cumulative annual rent</t>
        </is>
      </c>
    </row>
    <row r="14">
      <c r="A14">
        <f>IF(1&lt;=$B$10,1,"")</f>
        <v/>
      </c>
      <c r="B14" s="10">
        <f>IF(1&lt;=$B$10,IF($B$9="",IF($B$8="",IF($B$7=1,$B$6,$B$4*$B$6/100/$B$4*100),MIN($B$8,IF($B$7=1,$B$6,$B$4*$B$6/100/$B$4*100))),MAX($B$9,IF($B$8="",IF($B$7=1,$B$6,$B$4*$B$6/100/$B$4*100),MIN($B$8,IF($B$7=1,$B$6,$B$4*$B$6/100/$B$4*100))))),"")</f>
        <v/>
      </c>
      <c r="C14" s="11">
        <f>IF(1&lt;=$B$10,$B$4*(1+B14/100),"")</f>
        <v/>
      </c>
      <c r="D14" s="11">
        <f>IF(1&lt;=$B$10,C14*12,"")</f>
        <v/>
      </c>
      <c r="E14" s="11">
        <f>IF(1&lt;=$B$10,0+D14,"")</f>
        <v/>
      </c>
    </row>
    <row r="15">
      <c r="A15">
        <f>IF(2&lt;=$B$10,2,"")</f>
        <v/>
      </c>
      <c r="B15" s="10">
        <f>IF(2&lt;=$B$10,IF($B$9="",IF($B$8="",IF($B$7=1,$B$6,$B$4*$B$6/100/C14*100),MIN($B$8,IF($B$7=1,$B$6,$B$4*$B$6/100/C14*100))),MAX($B$9,IF($B$8="",IF($B$7=1,$B$6,$B$4*$B$6/100/C14*100),MIN($B$8,IF($B$7=1,$B$6,$B$4*$B$6/100/C14*100))))),"")</f>
        <v/>
      </c>
      <c r="C15" s="11">
        <f>IF(2&lt;=$B$10,C14*(1+B15/100),"")</f>
        <v/>
      </c>
      <c r="D15" s="11">
        <f>IF(2&lt;=$B$10,C15*12,"")</f>
        <v/>
      </c>
      <c r="E15" s="11">
        <f>IF(2&lt;=$B$10,E14+D15,"")</f>
        <v/>
      </c>
    </row>
    <row r="16">
      <c r="A16">
        <f>IF(3&lt;=$B$10,3,"")</f>
        <v/>
      </c>
      <c r="B16" s="10">
        <f>IF(3&lt;=$B$10,IF($B$9="",IF($B$8="",IF($B$7=1,$B$6,$B$4*$B$6/100/C15*100),MIN($B$8,IF($B$7=1,$B$6,$B$4*$B$6/100/C15*100))),MAX($B$9,IF($B$8="",IF($B$7=1,$B$6,$B$4*$B$6/100/C15*100),MIN($B$8,IF($B$7=1,$B$6,$B$4*$B$6/100/C15*100))))),"")</f>
        <v/>
      </c>
      <c r="C16" s="11">
        <f>IF(3&lt;=$B$10,C15*(1+B16/100),"")</f>
        <v/>
      </c>
      <c r="D16" s="11">
        <f>IF(3&lt;=$B$10,C16*12,"")</f>
        <v/>
      </c>
      <c r="E16" s="11">
        <f>IF(3&lt;=$B$10,E15+D16,"")</f>
        <v/>
      </c>
    </row>
    <row r="17">
      <c r="A17">
        <f>IF(4&lt;=$B$10,4,"")</f>
        <v/>
      </c>
      <c r="B17" s="10">
        <f>IF(4&lt;=$B$10,IF($B$9="",IF($B$8="",IF($B$7=1,$B$6,$B$4*$B$6/100/C16*100),MIN($B$8,IF($B$7=1,$B$6,$B$4*$B$6/100/C16*100))),MAX($B$9,IF($B$8="",IF($B$7=1,$B$6,$B$4*$B$6/100/C16*100),MIN($B$8,IF($B$7=1,$B$6,$B$4*$B$6/100/C16*100))))),"")</f>
        <v/>
      </c>
      <c r="C17" s="11">
        <f>IF(4&lt;=$B$10,C16*(1+B17/100),"")</f>
        <v/>
      </c>
      <c r="D17" s="11">
        <f>IF(4&lt;=$B$10,C17*12,"")</f>
        <v/>
      </c>
      <c r="E17" s="11">
        <f>IF(4&lt;=$B$10,E16+D17,"")</f>
        <v/>
      </c>
    </row>
    <row r="18">
      <c r="A18">
        <f>IF(5&lt;=$B$10,5,"")</f>
        <v/>
      </c>
      <c r="B18" s="10">
        <f>IF(5&lt;=$B$10,IF($B$9="",IF($B$8="",IF($B$7=1,$B$6,$B$4*$B$6/100/C17*100),MIN($B$8,IF($B$7=1,$B$6,$B$4*$B$6/100/C17*100))),MAX($B$9,IF($B$8="",IF($B$7=1,$B$6,$B$4*$B$6/100/C17*100),MIN($B$8,IF($B$7=1,$B$6,$B$4*$B$6/100/C17*100))))),"")</f>
        <v/>
      </c>
      <c r="C18" s="11">
        <f>IF(5&lt;=$B$10,C17*(1+B18/100),"")</f>
        <v/>
      </c>
      <c r="D18" s="11">
        <f>IF(5&lt;=$B$10,C18*12,"")</f>
        <v/>
      </c>
      <c r="E18" s="11">
        <f>IF(5&lt;=$B$10,E17+D18,"")</f>
        <v/>
      </c>
    </row>
    <row r="19">
      <c r="A19">
        <f>IF(6&lt;=$B$10,6,"")</f>
        <v/>
      </c>
      <c r="B19" s="10">
        <f>IF(6&lt;=$B$10,IF($B$9="",IF($B$8="",IF($B$7=1,$B$6,$B$4*$B$6/100/C18*100),MIN($B$8,IF($B$7=1,$B$6,$B$4*$B$6/100/C18*100))),MAX($B$9,IF($B$8="",IF($B$7=1,$B$6,$B$4*$B$6/100/C18*100),MIN($B$8,IF($B$7=1,$B$6,$B$4*$B$6/100/C18*100))))),"")</f>
        <v/>
      </c>
      <c r="C19" s="11">
        <f>IF(6&lt;=$B$10,C18*(1+B19/100),"")</f>
        <v/>
      </c>
      <c r="D19" s="11">
        <f>IF(6&lt;=$B$10,C19*12,"")</f>
        <v/>
      </c>
      <c r="E19" s="11">
        <f>IF(6&lt;=$B$10,E18+D19,"")</f>
        <v/>
      </c>
    </row>
    <row r="20">
      <c r="A20">
        <f>IF(7&lt;=$B$10,7,"")</f>
        <v/>
      </c>
      <c r="B20" s="10">
        <f>IF(7&lt;=$B$10,IF($B$9="",IF($B$8="",IF($B$7=1,$B$6,$B$4*$B$6/100/C19*100),MIN($B$8,IF($B$7=1,$B$6,$B$4*$B$6/100/C19*100))),MAX($B$9,IF($B$8="",IF($B$7=1,$B$6,$B$4*$B$6/100/C19*100),MIN($B$8,IF($B$7=1,$B$6,$B$4*$B$6/100/C19*100))))),"")</f>
        <v/>
      </c>
      <c r="C20" s="11">
        <f>IF(7&lt;=$B$10,C19*(1+B20/100),"")</f>
        <v/>
      </c>
      <c r="D20" s="11">
        <f>IF(7&lt;=$B$10,C20*12,"")</f>
        <v/>
      </c>
      <c r="E20" s="11">
        <f>IF(7&lt;=$B$10,E19+D20,"")</f>
        <v/>
      </c>
    </row>
    <row r="21">
      <c r="A21">
        <f>IF(8&lt;=$B$10,8,"")</f>
        <v/>
      </c>
      <c r="B21" s="10">
        <f>IF(8&lt;=$B$10,IF($B$9="",IF($B$8="",IF($B$7=1,$B$6,$B$4*$B$6/100/C20*100),MIN($B$8,IF($B$7=1,$B$6,$B$4*$B$6/100/C20*100))),MAX($B$9,IF($B$8="",IF($B$7=1,$B$6,$B$4*$B$6/100/C20*100),MIN($B$8,IF($B$7=1,$B$6,$B$4*$B$6/100/C20*100))))),"")</f>
        <v/>
      </c>
      <c r="C21" s="11">
        <f>IF(8&lt;=$B$10,C20*(1+B21/100),"")</f>
        <v/>
      </c>
      <c r="D21" s="11">
        <f>IF(8&lt;=$B$10,C21*12,"")</f>
        <v/>
      </c>
      <c r="E21" s="11">
        <f>IF(8&lt;=$B$10,E20+D21,"")</f>
        <v/>
      </c>
    </row>
    <row r="22">
      <c r="A22">
        <f>IF(9&lt;=$B$10,9,"")</f>
        <v/>
      </c>
      <c r="B22" s="10">
        <f>IF(9&lt;=$B$10,IF($B$9="",IF($B$8="",IF($B$7=1,$B$6,$B$4*$B$6/100/C21*100),MIN($B$8,IF($B$7=1,$B$6,$B$4*$B$6/100/C21*100))),MAX($B$9,IF($B$8="",IF($B$7=1,$B$6,$B$4*$B$6/100/C21*100),MIN($B$8,IF($B$7=1,$B$6,$B$4*$B$6/100/C21*100))))),"")</f>
        <v/>
      </c>
      <c r="C22" s="11">
        <f>IF(9&lt;=$B$10,C21*(1+B22/100),"")</f>
        <v/>
      </c>
      <c r="D22" s="11">
        <f>IF(9&lt;=$B$10,C22*12,"")</f>
        <v/>
      </c>
      <c r="E22" s="11">
        <f>IF(9&lt;=$B$10,E21+D22,"")</f>
        <v/>
      </c>
    </row>
    <row r="23">
      <c r="A23">
        <f>IF(10&lt;=$B$10,10,"")</f>
        <v/>
      </c>
      <c r="B23" s="10">
        <f>IF(10&lt;=$B$10,IF($B$9="",IF($B$8="",IF($B$7=1,$B$6,$B$4*$B$6/100/C22*100),MIN($B$8,IF($B$7=1,$B$6,$B$4*$B$6/100/C22*100))),MAX($B$9,IF($B$8="",IF($B$7=1,$B$6,$B$4*$B$6/100/C22*100),MIN($B$8,IF($B$7=1,$B$6,$B$4*$B$6/100/C22*100))))),"")</f>
        <v/>
      </c>
      <c r="C23" s="11">
        <f>IF(10&lt;=$B$10,C22*(1+B23/100),"")</f>
        <v/>
      </c>
      <c r="D23" s="11">
        <f>IF(10&lt;=$B$10,C23*12,"")</f>
        <v/>
      </c>
      <c r="E23" s="11">
        <f>IF(10&lt;=$B$10,E22+D23,"")</f>
        <v/>
      </c>
    </row>
    <row r="24">
      <c r="A24">
        <f>IF(11&lt;=$B$10,11,"")</f>
        <v/>
      </c>
      <c r="B24" s="10">
        <f>IF(11&lt;=$B$10,IF($B$9="",IF($B$8="",IF($B$7=1,$B$6,$B$4*$B$6/100/C23*100),MIN($B$8,IF($B$7=1,$B$6,$B$4*$B$6/100/C23*100))),MAX($B$9,IF($B$8="",IF($B$7=1,$B$6,$B$4*$B$6/100/C23*100),MIN($B$8,IF($B$7=1,$B$6,$B$4*$B$6/100/C23*100))))),"")</f>
        <v/>
      </c>
      <c r="C24" s="11">
        <f>IF(11&lt;=$B$10,C23*(1+B24/100),"")</f>
        <v/>
      </c>
      <c r="D24" s="11">
        <f>IF(11&lt;=$B$10,C24*12,"")</f>
        <v/>
      </c>
      <c r="E24" s="11">
        <f>IF(11&lt;=$B$10,E23+D24,"")</f>
        <v/>
      </c>
    </row>
    <row r="25">
      <c r="A25">
        <f>IF(12&lt;=$B$10,12,"")</f>
        <v/>
      </c>
      <c r="B25" s="10">
        <f>IF(12&lt;=$B$10,IF($B$9="",IF($B$8="",IF($B$7=1,$B$6,$B$4*$B$6/100/C24*100),MIN($B$8,IF($B$7=1,$B$6,$B$4*$B$6/100/C24*100))),MAX($B$9,IF($B$8="",IF($B$7=1,$B$6,$B$4*$B$6/100/C24*100),MIN($B$8,IF($B$7=1,$B$6,$B$4*$B$6/100/C24*100))))),"")</f>
        <v/>
      </c>
      <c r="C25" s="11">
        <f>IF(12&lt;=$B$10,C24*(1+B25/100),"")</f>
        <v/>
      </c>
      <c r="D25" s="11">
        <f>IF(12&lt;=$B$10,C25*12,"")</f>
        <v/>
      </c>
      <c r="E25" s="11">
        <f>IF(12&lt;=$B$10,E24+D25,"")</f>
        <v/>
      </c>
    </row>
    <row r="26">
      <c r="A26">
        <f>IF(13&lt;=$B$10,13,"")</f>
        <v/>
      </c>
      <c r="B26" s="10">
        <f>IF(13&lt;=$B$10,IF($B$9="",IF($B$8="",IF($B$7=1,$B$6,$B$4*$B$6/100/C25*100),MIN($B$8,IF($B$7=1,$B$6,$B$4*$B$6/100/C25*100))),MAX($B$9,IF($B$8="",IF($B$7=1,$B$6,$B$4*$B$6/100/C25*100),MIN($B$8,IF($B$7=1,$B$6,$B$4*$B$6/100/C25*100))))),"")</f>
        <v/>
      </c>
      <c r="C26" s="11">
        <f>IF(13&lt;=$B$10,C25*(1+B26/100),"")</f>
        <v/>
      </c>
      <c r="D26" s="11">
        <f>IF(13&lt;=$B$10,C26*12,"")</f>
        <v/>
      </c>
      <c r="E26" s="11">
        <f>IF(13&lt;=$B$10,E25+D26,"")</f>
        <v/>
      </c>
    </row>
    <row r="27">
      <c r="A27">
        <f>IF(14&lt;=$B$10,14,"")</f>
        <v/>
      </c>
      <c r="B27" s="10">
        <f>IF(14&lt;=$B$10,IF($B$9="",IF($B$8="",IF($B$7=1,$B$6,$B$4*$B$6/100/C26*100),MIN($B$8,IF($B$7=1,$B$6,$B$4*$B$6/100/C26*100))),MAX($B$9,IF($B$8="",IF($B$7=1,$B$6,$B$4*$B$6/100/C26*100),MIN($B$8,IF($B$7=1,$B$6,$B$4*$B$6/100/C26*100))))),"")</f>
        <v/>
      </c>
      <c r="C27" s="11">
        <f>IF(14&lt;=$B$10,C26*(1+B27/100),"")</f>
        <v/>
      </c>
      <c r="D27" s="11">
        <f>IF(14&lt;=$B$10,C27*12,"")</f>
        <v/>
      </c>
      <c r="E27" s="11">
        <f>IF(14&lt;=$B$10,E26+D27,"")</f>
        <v/>
      </c>
    </row>
    <row r="28">
      <c r="A28">
        <f>IF(15&lt;=$B$10,15,"")</f>
        <v/>
      </c>
      <c r="B28" s="10">
        <f>IF(15&lt;=$B$10,IF($B$9="",IF($B$8="",IF($B$7=1,$B$6,$B$4*$B$6/100/C27*100),MIN($B$8,IF($B$7=1,$B$6,$B$4*$B$6/100/C27*100))),MAX($B$9,IF($B$8="",IF($B$7=1,$B$6,$B$4*$B$6/100/C27*100),MIN($B$8,IF($B$7=1,$B$6,$B$4*$B$6/100/C27*100))))),"")</f>
        <v/>
      </c>
      <c r="C28" s="11">
        <f>IF(15&lt;=$B$10,C27*(1+B28/100),"")</f>
        <v/>
      </c>
      <c r="D28" s="11">
        <f>IF(15&lt;=$B$10,C28*12,"")</f>
        <v/>
      </c>
      <c r="E28" s="11">
        <f>IF(15&lt;=$B$10,E27+D28,"")</f>
        <v/>
      </c>
    </row>
    <row r="29">
      <c r="A29">
        <f>IF(16&lt;=$B$10,16,"")</f>
        <v/>
      </c>
      <c r="B29" s="10">
        <f>IF(16&lt;=$B$10,IF($B$9="",IF($B$8="",IF($B$7=1,$B$6,$B$4*$B$6/100/C28*100),MIN($B$8,IF($B$7=1,$B$6,$B$4*$B$6/100/C28*100))),MAX($B$9,IF($B$8="",IF($B$7=1,$B$6,$B$4*$B$6/100/C28*100),MIN($B$8,IF($B$7=1,$B$6,$B$4*$B$6/100/C28*100))))),"")</f>
        <v/>
      </c>
      <c r="C29" s="11">
        <f>IF(16&lt;=$B$10,C28*(1+B29/100),"")</f>
        <v/>
      </c>
      <c r="D29" s="11">
        <f>IF(16&lt;=$B$10,C29*12,"")</f>
        <v/>
      </c>
      <c r="E29" s="11">
        <f>IF(16&lt;=$B$10,E28+D29,"")</f>
        <v/>
      </c>
    </row>
    <row r="30">
      <c r="A30">
        <f>IF(17&lt;=$B$10,17,"")</f>
        <v/>
      </c>
      <c r="B30" s="10">
        <f>IF(17&lt;=$B$10,IF($B$9="",IF($B$8="",IF($B$7=1,$B$6,$B$4*$B$6/100/C29*100),MIN($B$8,IF($B$7=1,$B$6,$B$4*$B$6/100/C29*100))),MAX($B$9,IF($B$8="",IF($B$7=1,$B$6,$B$4*$B$6/100/C29*100),MIN($B$8,IF($B$7=1,$B$6,$B$4*$B$6/100/C29*100))))),"")</f>
        <v/>
      </c>
      <c r="C30" s="11">
        <f>IF(17&lt;=$B$10,C29*(1+B30/100),"")</f>
        <v/>
      </c>
      <c r="D30" s="11">
        <f>IF(17&lt;=$B$10,C30*12,"")</f>
        <v/>
      </c>
      <c r="E30" s="11">
        <f>IF(17&lt;=$B$10,E29+D30,"")</f>
        <v/>
      </c>
    </row>
    <row r="31">
      <c r="A31">
        <f>IF(18&lt;=$B$10,18,"")</f>
        <v/>
      </c>
      <c r="B31" s="10">
        <f>IF(18&lt;=$B$10,IF($B$9="",IF($B$8="",IF($B$7=1,$B$6,$B$4*$B$6/100/C30*100),MIN($B$8,IF($B$7=1,$B$6,$B$4*$B$6/100/C30*100))),MAX($B$9,IF($B$8="",IF($B$7=1,$B$6,$B$4*$B$6/100/C30*100),MIN($B$8,IF($B$7=1,$B$6,$B$4*$B$6/100/C30*100))))),"")</f>
        <v/>
      </c>
      <c r="C31" s="11">
        <f>IF(18&lt;=$B$10,C30*(1+B31/100),"")</f>
        <v/>
      </c>
      <c r="D31" s="11">
        <f>IF(18&lt;=$B$10,C31*12,"")</f>
        <v/>
      </c>
      <c r="E31" s="11">
        <f>IF(18&lt;=$B$10,E30+D31,"")</f>
        <v/>
      </c>
    </row>
    <row r="32">
      <c r="A32">
        <f>IF(19&lt;=$B$10,19,"")</f>
        <v/>
      </c>
      <c r="B32" s="10">
        <f>IF(19&lt;=$B$10,IF($B$9="",IF($B$8="",IF($B$7=1,$B$6,$B$4*$B$6/100/C31*100),MIN($B$8,IF($B$7=1,$B$6,$B$4*$B$6/100/C31*100))),MAX($B$9,IF($B$8="",IF($B$7=1,$B$6,$B$4*$B$6/100/C31*100),MIN($B$8,IF($B$7=1,$B$6,$B$4*$B$6/100/C31*100))))),"")</f>
        <v/>
      </c>
      <c r="C32" s="11">
        <f>IF(19&lt;=$B$10,C31*(1+B32/100),"")</f>
        <v/>
      </c>
      <c r="D32" s="11">
        <f>IF(19&lt;=$B$10,C32*12,"")</f>
        <v/>
      </c>
      <c r="E32" s="11">
        <f>IF(19&lt;=$B$10,E31+D32,"")</f>
        <v/>
      </c>
    </row>
    <row r="33">
      <c r="A33">
        <f>IF(20&lt;=$B$10,20,"")</f>
        <v/>
      </c>
      <c r="B33" s="10">
        <f>IF(20&lt;=$B$10,IF($B$9="",IF($B$8="",IF($B$7=1,$B$6,$B$4*$B$6/100/C32*100),MIN($B$8,IF($B$7=1,$B$6,$B$4*$B$6/100/C32*100))),MAX($B$9,IF($B$8="",IF($B$7=1,$B$6,$B$4*$B$6/100/C32*100),MIN($B$8,IF($B$7=1,$B$6,$B$4*$B$6/100/C32*100))))),"")</f>
        <v/>
      </c>
      <c r="C33" s="11">
        <f>IF(20&lt;=$B$10,C32*(1+B33/100),"")</f>
        <v/>
      </c>
      <c r="D33" s="11">
        <f>IF(20&lt;=$B$10,C33*12,"")</f>
        <v/>
      </c>
      <c r="E33" s="11">
        <f>IF(20&lt;=$B$10,E32+D33,"")</f>
        <v/>
      </c>
    </row>
    <row r="34">
      <c r="A34">
        <f>IF(21&lt;=$B$10,21,"")</f>
        <v/>
      </c>
      <c r="B34" s="10">
        <f>IF(21&lt;=$B$10,IF($B$9="",IF($B$8="",IF($B$7=1,$B$6,$B$4*$B$6/100/C33*100),MIN($B$8,IF($B$7=1,$B$6,$B$4*$B$6/100/C33*100))),MAX($B$9,IF($B$8="",IF($B$7=1,$B$6,$B$4*$B$6/100/C33*100),MIN($B$8,IF($B$7=1,$B$6,$B$4*$B$6/100/C33*100))))),"")</f>
        <v/>
      </c>
      <c r="C34" s="11">
        <f>IF(21&lt;=$B$10,C33*(1+B34/100),"")</f>
        <v/>
      </c>
      <c r="D34" s="11">
        <f>IF(21&lt;=$B$10,C34*12,"")</f>
        <v/>
      </c>
      <c r="E34" s="11">
        <f>IF(21&lt;=$B$10,E33+D34,"")</f>
        <v/>
      </c>
    </row>
    <row r="35">
      <c r="A35">
        <f>IF(22&lt;=$B$10,22,"")</f>
        <v/>
      </c>
      <c r="B35" s="10">
        <f>IF(22&lt;=$B$10,IF($B$9="",IF($B$8="",IF($B$7=1,$B$6,$B$4*$B$6/100/C34*100),MIN($B$8,IF($B$7=1,$B$6,$B$4*$B$6/100/C34*100))),MAX($B$9,IF($B$8="",IF($B$7=1,$B$6,$B$4*$B$6/100/C34*100),MIN($B$8,IF($B$7=1,$B$6,$B$4*$B$6/100/C34*100))))),"")</f>
        <v/>
      </c>
      <c r="C35" s="11">
        <f>IF(22&lt;=$B$10,C34*(1+B35/100),"")</f>
        <v/>
      </c>
      <c r="D35" s="11">
        <f>IF(22&lt;=$B$10,C35*12,"")</f>
        <v/>
      </c>
      <c r="E35" s="11">
        <f>IF(22&lt;=$B$10,E34+D35,"")</f>
        <v/>
      </c>
    </row>
    <row r="36">
      <c r="A36">
        <f>IF(23&lt;=$B$10,23,"")</f>
        <v/>
      </c>
      <c r="B36" s="10">
        <f>IF(23&lt;=$B$10,IF($B$9="",IF($B$8="",IF($B$7=1,$B$6,$B$4*$B$6/100/C35*100),MIN($B$8,IF($B$7=1,$B$6,$B$4*$B$6/100/C35*100))),MAX($B$9,IF($B$8="",IF($B$7=1,$B$6,$B$4*$B$6/100/C35*100),MIN($B$8,IF($B$7=1,$B$6,$B$4*$B$6/100/C35*100))))),"")</f>
        <v/>
      </c>
      <c r="C36" s="11">
        <f>IF(23&lt;=$B$10,C35*(1+B36/100),"")</f>
        <v/>
      </c>
      <c r="D36" s="11">
        <f>IF(23&lt;=$B$10,C36*12,"")</f>
        <v/>
      </c>
      <c r="E36" s="11">
        <f>IF(23&lt;=$B$10,E35+D36,"")</f>
        <v/>
      </c>
    </row>
    <row r="37">
      <c r="A37">
        <f>IF(24&lt;=$B$10,24,"")</f>
        <v/>
      </c>
      <c r="B37" s="10">
        <f>IF(24&lt;=$B$10,IF($B$9="",IF($B$8="",IF($B$7=1,$B$6,$B$4*$B$6/100/C36*100),MIN($B$8,IF($B$7=1,$B$6,$B$4*$B$6/100/C36*100))),MAX($B$9,IF($B$8="",IF($B$7=1,$B$6,$B$4*$B$6/100/C36*100),MIN($B$8,IF($B$7=1,$B$6,$B$4*$B$6/100/C36*100))))),"")</f>
        <v/>
      </c>
      <c r="C37" s="11">
        <f>IF(24&lt;=$B$10,C36*(1+B37/100),"")</f>
        <v/>
      </c>
      <c r="D37" s="11">
        <f>IF(24&lt;=$B$10,C37*12,"")</f>
        <v/>
      </c>
      <c r="E37" s="11">
        <f>IF(24&lt;=$B$10,E36+D37,"")</f>
        <v/>
      </c>
    </row>
    <row r="38">
      <c r="A38">
        <f>IF(25&lt;=$B$10,25,"")</f>
        <v/>
      </c>
      <c r="B38" s="10">
        <f>IF(25&lt;=$B$10,IF($B$9="",IF($B$8="",IF($B$7=1,$B$6,$B$4*$B$6/100/C37*100),MIN($B$8,IF($B$7=1,$B$6,$B$4*$B$6/100/C37*100))),MAX($B$9,IF($B$8="",IF($B$7=1,$B$6,$B$4*$B$6/100/C37*100),MIN($B$8,IF($B$7=1,$B$6,$B$4*$B$6/100/C37*100))))),"")</f>
        <v/>
      </c>
      <c r="C38" s="11">
        <f>IF(25&lt;=$B$10,C37*(1+B38/100),"")</f>
        <v/>
      </c>
      <c r="D38" s="11">
        <f>IF(25&lt;=$B$10,C38*12,"")</f>
        <v/>
      </c>
      <c r="E38" s="11">
        <f>IF(25&lt;=$B$10,E37+D38,"")</f>
        <v/>
      </c>
    </row>
    <row r="39">
      <c r="A39">
        <f>IF(26&lt;=$B$10,26,"")</f>
        <v/>
      </c>
      <c r="B39" s="10">
        <f>IF(26&lt;=$B$10,IF($B$9="",IF($B$8="",IF($B$7=1,$B$6,$B$4*$B$6/100/C38*100),MIN($B$8,IF($B$7=1,$B$6,$B$4*$B$6/100/C38*100))),MAX($B$9,IF($B$8="",IF($B$7=1,$B$6,$B$4*$B$6/100/C38*100),MIN($B$8,IF($B$7=1,$B$6,$B$4*$B$6/100/C38*100))))),"")</f>
        <v/>
      </c>
      <c r="C39" s="11">
        <f>IF(26&lt;=$B$10,C38*(1+B39/100),"")</f>
        <v/>
      </c>
      <c r="D39" s="11">
        <f>IF(26&lt;=$B$10,C39*12,"")</f>
        <v/>
      </c>
      <c r="E39" s="11">
        <f>IF(26&lt;=$B$10,E38+D39,"")</f>
        <v/>
      </c>
    </row>
    <row r="40">
      <c r="A40">
        <f>IF(27&lt;=$B$10,27,"")</f>
        <v/>
      </c>
      <c r="B40" s="10">
        <f>IF(27&lt;=$B$10,IF($B$9="",IF($B$8="",IF($B$7=1,$B$6,$B$4*$B$6/100/C39*100),MIN($B$8,IF($B$7=1,$B$6,$B$4*$B$6/100/C39*100))),MAX($B$9,IF($B$8="",IF($B$7=1,$B$6,$B$4*$B$6/100/C39*100),MIN($B$8,IF($B$7=1,$B$6,$B$4*$B$6/100/C39*100))))),"")</f>
        <v/>
      </c>
      <c r="C40" s="11">
        <f>IF(27&lt;=$B$10,C39*(1+B40/100),"")</f>
        <v/>
      </c>
      <c r="D40" s="11">
        <f>IF(27&lt;=$B$10,C40*12,"")</f>
        <v/>
      </c>
      <c r="E40" s="11">
        <f>IF(27&lt;=$B$10,E39+D40,"")</f>
        <v/>
      </c>
    </row>
    <row r="41">
      <c r="A41">
        <f>IF(28&lt;=$B$10,28,"")</f>
        <v/>
      </c>
      <c r="B41" s="10">
        <f>IF(28&lt;=$B$10,IF($B$9="",IF($B$8="",IF($B$7=1,$B$6,$B$4*$B$6/100/C40*100),MIN($B$8,IF($B$7=1,$B$6,$B$4*$B$6/100/C40*100))),MAX($B$9,IF($B$8="",IF($B$7=1,$B$6,$B$4*$B$6/100/C40*100),MIN($B$8,IF($B$7=1,$B$6,$B$4*$B$6/100/C40*100))))),"")</f>
        <v/>
      </c>
      <c r="C41" s="11">
        <f>IF(28&lt;=$B$10,C40*(1+B41/100),"")</f>
        <v/>
      </c>
      <c r="D41" s="11">
        <f>IF(28&lt;=$B$10,C41*12,"")</f>
        <v/>
      </c>
      <c r="E41" s="11">
        <f>IF(28&lt;=$B$10,E40+D41,"")</f>
        <v/>
      </c>
    </row>
    <row r="42">
      <c r="A42">
        <f>IF(29&lt;=$B$10,29,"")</f>
        <v/>
      </c>
      <c r="B42" s="10">
        <f>IF(29&lt;=$B$10,IF($B$9="",IF($B$8="",IF($B$7=1,$B$6,$B$4*$B$6/100/C41*100),MIN($B$8,IF($B$7=1,$B$6,$B$4*$B$6/100/C41*100))),MAX($B$9,IF($B$8="",IF($B$7=1,$B$6,$B$4*$B$6/100/C41*100),MIN($B$8,IF($B$7=1,$B$6,$B$4*$B$6/100/C41*100))))),"")</f>
        <v/>
      </c>
      <c r="C42" s="11">
        <f>IF(29&lt;=$B$10,C41*(1+B42/100),"")</f>
        <v/>
      </c>
      <c r="D42" s="11">
        <f>IF(29&lt;=$B$10,C42*12,"")</f>
        <v/>
      </c>
      <c r="E42" s="11">
        <f>IF(29&lt;=$B$10,E41+D42,"")</f>
        <v/>
      </c>
    </row>
    <row r="43">
      <c r="A43">
        <f>IF(30&lt;=$B$10,30,"")</f>
        <v/>
      </c>
      <c r="B43" s="10">
        <f>IF(30&lt;=$B$10,IF($B$9="",IF($B$8="",IF($B$7=1,$B$6,$B$4*$B$6/100/C42*100),MIN($B$8,IF($B$7=1,$B$6,$B$4*$B$6/100/C42*100))),MAX($B$9,IF($B$8="",IF($B$7=1,$B$6,$B$4*$B$6/100/C42*100),MIN($B$8,IF($B$7=1,$B$6,$B$4*$B$6/100/C42*100))))),"")</f>
        <v/>
      </c>
      <c r="C43" s="11">
        <f>IF(30&lt;=$B$10,C42*(1+B43/100),"")</f>
        <v/>
      </c>
      <c r="D43" s="11">
        <f>IF(30&lt;=$B$10,C43*12,"")</f>
        <v/>
      </c>
      <c r="E43" s="11">
        <f>IF(30&lt;=$B$10,E42+D43,"")</f>
        <v/>
      </c>
    </row>
    <row r="45">
      <c r="A45" s="4" t="inlineStr">
        <is>
          <t>Final rent per period</t>
        </is>
      </c>
      <c r="B45" s="11">
        <f>LOOKUP(2,1/(C14:C43&lt;&gt;""),C14:C43)</f>
        <v/>
      </c>
    </row>
    <row r="46">
      <c r="A46" s="4" t="inlineStr">
        <is>
          <t>Total uplift vs base %</t>
        </is>
      </c>
      <c r="B46" s="10">
        <f>(B45/$B$4-1)*100</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51"/>
  <sheetViews>
    <sheetView workbookViewId="0">
      <pane ySplit="16" topLeftCell="A17" activePane="bottomLeft" state="frozen"/>
      <selection pane="bottomLeft" activeCell="A1" sqref="A1"/>
    </sheetView>
  </sheetViews>
  <sheetFormatPr baseColWidth="8" defaultRowHeight="15"/>
  <cols>
    <col width="34" customWidth="1" min="1" max="1"/>
    <col width="30" customWidth="1" min="2" max="2"/>
    <col width="16" customWidth="1" min="3" max="3"/>
    <col width="30" customWidth="1" min="4" max="4"/>
    <col width="18" customWidth="1" min="5" max="5"/>
    <col width="18" customWidth="1" min="6" max="6"/>
  </cols>
  <sheetData>
    <row r="1">
      <c r="A1" s="1" t="inlineStr">
        <is>
          <t>Index-linked escalation with a margin (CPI + x%)</t>
        </is>
      </c>
    </row>
    <row r="2">
      <c r="A2" s="2" t="inlineStr">
        <is>
          <t>New rent = rent in force × (index at review ÷ index at previous review), then the margin as the clause says. First review uses the base index; later reviews project the index at the assumed annual change until you overwrite column B with published values.</t>
        </is>
      </c>
    </row>
    <row r="4">
      <c r="A4" s="4" t="inlineStr">
        <is>
          <t>Base rent per period</t>
        </is>
      </c>
      <c r="B4" s="5" t="n">
        <v>1250</v>
      </c>
      <c r="C4" s="2" t="inlineStr">
        <is>
          <t>Illustrative input (the synthetic demo lease: EUR 1,250.00 per month)</t>
        </is>
      </c>
    </row>
    <row r="5">
      <c r="A5" s="4" t="inlineStr">
        <is>
          <t>Currency label</t>
        </is>
      </c>
      <c r="B5" s="6" t="inlineStr">
        <is>
          <t>EUR</t>
        </is>
      </c>
      <c r="C5" s="2" t="inlineStr">
        <is>
          <t>Text only</t>
        </is>
      </c>
    </row>
    <row r="6">
      <c r="A6" s="4" t="inlineStr">
        <is>
          <t>Base index (value at signing or as the clause fixes it)</t>
        </is>
      </c>
      <c r="B6" s="12" t="n">
        <v>100</v>
      </c>
      <c r="C6" s="2" t="inlineStr">
        <is>
          <t>Placeholder, not a published value; enter the official figure</t>
        </is>
      </c>
    </row>
    <row r="7">
      <c r="A7" s="4" t="inlineStr">
        <is>
          <t>Index at first review</t>
        </is>
      </c>
      <c r="B7" s="12" t="n">
        <v>102</v>
      </c>
      <c r="C7" s="2" t="inlineStr">
        <is>
          <t>Placeholder; enter the official figure for the review period</t>
        </is>
      </c>
    </row>
    <row r="8">
      <c r="A8" s="4" t="inlineStr">
        <is>
          <t>Margin % on top of the index</t>
        </is>
      </c>
      <c r="B8" s="7" t="n">
        <v>1.5</v>
      </c>
      <c r="C8" s="2" t="inlineStr">
        <is>
          <t>1.5 means + 1.5%</t>
        </is>
      </c>
    </row>
    <row r="9">
      <c r="A9" s="4" t="inlineStr">
        <is>
          <t>Margin method (1 = added to the % change, 2 = multiplied onto the indexed rent)</t>
        </is>
      </c>
      <c r="B9" s="8" t="n">
        <v>1</v>
      </c>
      <c r="C9" s="2" t="inlineStr">
        <is>
          <t>The clause wording decides</t>
        </is>
      </c>
    </row>
    <row r="10">
      <c r="A10" s="4" t="inlineStr">
        <is>
          <t>Assumed index change % per year for projected reviews</t>
        </is>
      </c>
      <c r="B10" s="7" t="n">
        <v>2</v>
      </c>
      <c r="C10" s="2" t="inlineStr">
        <is>
          <t>Used only where the projected index in column B is not overwritten</t>
        </is>
      </c>
    </row>
    <row r="11">
      <c r="A11" s="4" t="inlineStr">
        <is>
          <t>Cap % per adjustment (blank = none)</t>
        </is>
      </c>
      <c r="B11" s="7" t="n"/>
      <c r="C11" s="2" t="inlineStr">
        <is>
          <t>Largest change allowed at one adjustment</t>
        </is>
      </c>
    </row>
    <row r="12">
      <c r="A12" s="4" t="inlineStr">
        <is>
          <t>Collar % per adjustment (blank = none)</t>
        </is>
      </c>
      <c r="B12" s="7" t="n">
        <v>0</v>
      </c>
      <c r="C12" s="2" t="inlineStr">
        <is>
          <t>0 holds rent flat when the index falls; blank allows decreases</t>
        </is>
      </c>
    </row>
    <row r="13">
      <c r="A13" s="4" t="inlineStr">
        <is>
          <t>Adjustments to show (1 to 30)</t>
        </is>
      </c>
      <c r="B13" s="8" t="n">
        <v>11</v>
      </c>
      <c r="C13" s="2" t="inlineStr">
        <is>
          <t>11 annual reviews inside a 12-year term</t>
        </is>
      </c>
    </row>
    <row r="16">
      <c r="A16" s="9" t="inlineStr">
        <is>
          <t>Review #</t>
        </is>
      </c>
      <c r="B16" s="9" t="inlineStr">
        <is>
          <t>Index used (overwrite with published values)</t>
        </is>
      </c>
      <c r="C16" s="9" t="inlineStr">
        <is>
          <t>Index change %</t>
        </is>
      </c>
      <c r="D16" s="9" t="inlineStr">
        <is>
          <t>Change applied % (margin, cap, collar)</t>
        </is>
      </c>
      <c r="E16" s="9" t="inlineStr">
        <is>
          <t>Rent per period</t>
        </is>
      </c>
      <c r="F16" s="9" t="inlineStr">
        <is>
          <t>Annual rent (×12)</t>
        </is>
      </c>
    </row>
    <row r="17">
      <c r="A17">
        <f>IF(1&lt;=$B$13,1,"")</f>
        <v/>
      </c>
      <c r="B17" s="13">
        <f>$B$7</f>
        <v/>
      </c>
      <c r="C17" s="10">
        <f>IF(1&lt;=$B$13,(B17/$B$6-1)*100,"")</f>
        <v/>
      </c>
      <c r="D17" s="10">
        <f>IF(1&lt;=$B$13,IF($B$12="",IF($B$11="",IF($B$9=1,C17+$B$8,((1+C17/100)*(1+$B$8/100)-1)*100),MIN($B$11,IF($B$9=1,C17+$B$8,((1+C17/100)*(1+$B$8/100)-1)*100))),MAX($B$12,IF($B$11="",IF($B$9=1,C17+$B$8,((1+C17/100)*(1+$B$8/100)-1)*100),MIN($B$11,IF($B$9=1,C17+$B$8,((1+C17/100)*(1+$B$8/100)-1)*100))))),"")</f>
        <v/>
      </c>
      <c r="E17" s="11">
        <f>IF(1&lt;=$B$13,$B$4*(1+D17/100),"")</f>
        <v/>
      </c>
      <c r="F17" s="11">
        <f>IF(1&lt;=$B$13,E17*12,"")</f>
        <v/>
      </c>
    </row>
    <row r="18">
      <c r="A18">
        <f>IF(2&lt;=$B$13,2,"")</f>
        <v/>
      </c>
      <c r="B18" s="13">
        <f>IF(2&lt;=$B$13,B17*(1+$B$10/100),"")</f>
        <v/>
      </c>
      <c r="C18" s="10">
        <f>IF(2&lt;=$B$13,(B18/B17-1)*100,"")</f>
        <v/>
      </c>
      <c r="D18" s="10">
        <f>IF(2&lt;=$B$13,IF($B$12="",IF($B$11="",IF($B$9=1,C18+$B$8,((1+C18/100)*(1+$B$8/100)-1)*100),MIN($B$11,IF($B$9=1,C18+$B$8,((1+C18/100)*(1+$B$8/100)-1)*100))),MAX($B$12,IF($B$11="",IF($B$9=1,C18+$B$8,((1+C18/100)*(1+$B$8/100)-1)*100),MIN($B$11,IF($B$9=1,C18+$B$8,((1+C18/100)*(1+$B$8/100)-1)*100))))),"")</f>
        <v/>
      </c>
      <c r="E18" s="11">
        <f>IF(2&lt;=$B$13,E17*(1+D18/100),"")</f>
        <v/>
      </c>
      <c r="F18" s="11">
        <f>IF(2&lt;=$B$13,E18*12,"")</f>
        <v/>
      </c>
    </row>
    <row r="19">
      <c r="A19">
        <f>IF(3&lt;=$B$13,3,"")</f>
        <v/>
      </c>
      <c r="B19" s="13">
        <f>IF(3&lt;=$B$13,B18*(1+$B$10/100),"")</f>
        <v/>
      </c>
      <c r="C19" s="10">
        <f>IF(3&lt;=$B$13,(B19/B18-1)*100,"")</f>
        <v/>
      </c>
      <c r="D19" s="10">
        <f>IF(3&lt;=$B$13,IF($B$12="",IF($B$11="",IF($B$9=1,C19+$B$8,((1+C19/100)*(1+$B$8/100)-1)*100),MIN($B$11,IF($B$9=1,C19+$B$8,((1+C19/100)*(1+$B$8/100)-1)*100))),MAX($B$12,IF($B$11="",IF($B$9=1,C19+$B$8,((1+C19/100)*(1+$B$8/100)-1)*100),MIN($B$11,IF($B$9=1,C19+$B$8,((1+C19/100)*(1+$B$8/100)-1)*100))))),"")</f>
        <v/>
      </c>
      <c r="E19" s="11">
        <f>IF(3&lt;=$B$13,E18*(1+D19/100),"")</f>
        <v/>
      </c>
      <c r="F19" s="11">
        <f>IF(3&lt;=$B$13,E19*12,"")</f>
        <v/>
      </c>
    </row>
    <row r="20">
      <c r="A20">
        <f>IF(4&lt;=$B$13,4,"")</f>
        <v/>
      </c>
      <c r="B20" s="13">
        <f>IF(4&lt;=$B$13,B19*(1+$B$10/100),"")</f>
        <v/>
      </c>
      <c r="C20" s="10">
        <f>IF(4&lt;=$B$13,(B20/B19-1)*100,"")</f>
        <v/>
      </c>
      <c r="D20" s="10">
        <f>IF(4&lt;=$B$13,IF($B$12="",IF($B$11="",IF($B$9=1,C20+$B$8,((1+C20/100)*(1+$B$8/100)-1)*100),MIN($B$11,IF($B$9=1,C20+$B$8,((1+C20/100)*(1+$B$8/100)-1)*100))),MAX($B$12,IF($B$11="",IF($B$9=1,C20+$B$8,((1+C20/100)*(1+$B$8/100)-1)*100),MIN($B$11,IF($B$9=1,C20+$B$8,((1+C20/100)*(1+$B$8/100)-1)*100))))),"")</f>
        <v/>
      </c>
      <c r="E20" s="11">
        <f>IF(4&lt;=$B$13,E19*(1+D20/100),"")</f>
        <v/>
      </c>
      <c r="F20" s="11">
        <f>IF(4&lt;=$B$13,E20*12,"")</f>
        <v/>
      </c>
    </row>
    <row r="21">
      <c r="A21">
        <f>IF(5&lt;=$B$13,5,"")</f>
        <v/>
      </c>
      <c r="B21" s="13">
        <f>IF(5&lt;=$B$13,B20*(1+$B$10/100),"")</f>
        <v/>
      </c>
      <c r="C21" s="10">
        <f>IF(5&lt;=$B$13,(B21/B20-1)*100,"")</f>
        <v/>
      </c>
      <c r="D21" s="10">
        <f>IF(5&lt;=$B$13,IF($B$12="",IF($B$11="",IF($B$9=1,C21+$B$8,((1+C21/100)*(1+$B$8/100)-1)*100),MIN($B$11,IF($B$9=1,C21+$B$8,((1+C21/100)*(1+$B$8/100)-1)*100))),MAX($B$12,IF($B$11="",IF($B$9=1,C21+$B$8,((1+C21/100)*(1+$B$8/100)-1)*100),MIN($B$11,IF($B$9=1,C21+$B$8,((1+C21/100)*(1+$B$8/100)-1)*100))))),"")</f>
        <v/>
      </c>
      <c r="E21" s="11">
        <f>IF(5&lt;=$B$13,E20*(1+D21/100),"")</f>
        <v/>
      </c>
      <c r="F21" s="11">
        <f>IF(5&lt;=$B$13,E21*12,"")</f>
        <v/>
      </c>
    </row>
    <row r="22">
      <c r="A22">
        <f>IF(6&lt;=$B$13,6,"")</f>
        <v/>
      </c>
      <c r="B22" s="13">
        <f>IF(6&lt;=$B$13,B21*(1+$B$10/100),"")</f>
        <v/>
      </c>
      <c r="C22" s="10">
        <f>IF(6&lt;=$B$13,(B22/B21-1)*100,"")</f>
        <v/>
      </c>
      <c r="D22" s="10">
        <f>IF(6&lt;=$B$13,IF($B$12="",IF($B$11="",IF($B$9=1,C22+$B$8,((1+C22/100)*(1+$B$8/100)-1)*100),MIN($B$11,IF($B$9=1,C22+$B$8,((1+C22/100)*(1+$B$8/100)-1)*100))),MAX($B$12,IF($B$11="",IF($B$9=1,C22+$B$8,((1+C22/100)*(1+$B$8/100)-1)*100),MIN($B$11,IF($B$9=1,C22+$B$8,((1+C22/100)*(1+$B$8/100)-1)*100))))),"")</f>
        <v/>
      </c>
      <c r="E22" s="11">
        <f>IF(6&lt;=$B$13,E21*(1+D22/100),"")</f>
        <v/>
      </c>
      <c r="F22" s="11">
        <f>IF(6&lt;=$B$13,E22*12,"")</f>
        <v/>
      </c>
    </row>
    <row r="23">
      <c r="A23">
        <f>IF(7&lt;=$B$13,7,"")</f>
        <v/>
      </c>
      <c r="B23" s="13">
        <f>IF(7&lt;=$B$13,B22*(1+$B$10/100),"")</f>
        <v/>
      </c>
      <c r="C23" s="10">
        <f>IF(7&lt;=$B$13,(B23/B22-1)*100,"")</f>
        <v/>
      </c>
      <c r="D23" s="10">
        <f>IF(7&lt;=$B$13,IF($B$12="",IF($B$11="",IF($B$9=1,C23+$B$8,((1+C23/100)*(1+$B$8/100)-1)*100),MIN($B$11,IF($B$9=1,C23+$B$8,((1+C23/100)*(1+$B$8/100)-1)*100))),MAX($B$12,IF($B$11="",IF($B$9=1,C23+$B$8,((1+C23/100)*(1+$B$8/100)-1)*100),MIN($B$11,IF($B$9=1,C23+$B$8,((1+C23/100)*(1+$B$8/100)-1)*100))))),"")</f>
        <v/>
      </c>
      <c r="E23" s="11">
        <f>IF(7&lt;=$B$13,E22*(1+D23/100),"")</f>
        <v/>
      </c>
      <c r="F23" s="11">
        <f>IF(7&lt;=$B$13,E23*12,"")</f>
        <v/>
      </c>
    </row>
    <row r="24">
      <c r="A24">
        <f>IF(8&lt;=$B$13,8,"")</f>
        <v/>
      </c>
      <c r="B24" s="13">
        <f>IF(8&lt;=$B$13,B23*(1+$B$10/100),"")</f>
        <v/>
      </c>
      <c r="C24" s="10">
        <f>IF(8&lt;=$B$13,(B24/B23-1)*100,"")</f>
        <v/>
      </c>
      <c r="D24" s="10">
        <f>IF(8&lt;=$B$13,IF($B$12="",IF($B$11="",IF($B$9=1,C24+$B$8,((1+C24/100)*(1+$B$8/100)-1)*100),MIN($B$11,IF($B$9=1,C24+$B$8,((1+C24/100)*(1+$B$8/100)-1)*100))),MAX($B$12,IF($B$11="",IF($B$9=1,C24+$B$8,((1+C24/100)*(1+$B$8/100)-1)*100),MIN($B$11,IF($B$9=1,C24+$B$8,((1+C24/100)*(1+$B$8/100)-1)*100))))),"")</f>
        <v/>
      </c>
      <c r="E24" s="11">
        <f>IF(8&lt;=$B$13,E23*(1+D24/100),"")</f>
        <v/>
      </c>
      <c r="F24" s="11">
        <f>IF(8&lt;=$B$13,E24*12,"")</f>
        <v/>
      </c>
    </row>
    <row r="25">
      <c r="A25">
        <f>IF(9&lt;=$B$13,9,"")</f>
        <v/>
      </c>
      <c r="B25" s="13">
        <f>IF(9&lt;=$B$13,B24*(1+$B$10/100),"")</f>
        <v/>
      </c>
      <c r="C25" s="10">
        <f>IF(9&lt;=$B$13,(B25/B24-1)*100,"")</f>
        <v/>
      </c>
      <c r="D25" s="10">
        <f>IF(9&lt;=$B$13,IF($B$12="",IF($B$11="",IF($B$9=1,C25+$B$8,((1+C25/100)*(1+$B$8/100)-1)*100),MIN($B$11,IF($B$9=1,C25+$B$8,((1+C25/100)*(1+$B$8/100)-1)*100))),MAX($B$12,IF($B$11="",IF($B$9=1,C25+$B$8,((1+C25/100)*(1+$B$8/100)-1)*100),MIN($B$11,IF($B$9=1,C25+$B$8,((1+C25/100)*(1+$B$8/100)-1)*100))))),"")</f>
        <v/>
      </c>
      <c r="E25" s="11">
        <f>IF(9&lt;=$B$13,E24*(1+D25/100),"")</f>
        <v/>
      </c>
      <c r="F25" s="11">
        <f>IF(9&lt;=$B$13,E25*12,"")</f>
        <v/>
      </c>
    </row>
    <row r="26">
      <c r="A26">
        <f>IF(10&lt;=$B$13,10,"")</f>
        <v/>
      </c>
      <c r="B26" s="13">
        <f>IF(10&lt;=$B$13,B25*(1+$B$10/100),"")</f>
        <v/>
      </c>
      <c r="C26" s="10">
        <f>IF(10&lt;=$B$13,(B26/B25-1)*100,"")</f>
        <v/>
      </c>
      <c r="D26" s="10">
        <f>IF(10&lt;=$B$13,IF($B$12="",IF($B$11="",IF($B$9=1,C26+$B$8,((1+C26/100)*(1+$B$8/100)-1)*100),MIN($B$11,IF($B$9=1,C26+$B$8,((1+C26/100)*(1+$B$8/100)-1)*100))),MAX($B$12,IF($B$11="",IF($B$9=1,C26+$B$8,((1+C26/100)*(1+$B$8/100)-1)*100),MIN($B$11,IF($B$9=1,C26+$B$8,((1+C26/100)*(1+$B$8/100)-1)*100))))),"")</f>
        <v/>
      </c>
      <c r="E26" s="11">
        <f>IF(10&lt;=$B$13,E25*(1+D26/100),"")</f>
        <v/>
      </c>
      <c r="F26" s="11">
        <f>IF(10&lt;=$B$13,E26*12,"")</f>
        <v/>
      </c>
    </row>
    <row r="27">
      <c r="A27">
        <f>IF(11&lt;=$B$13,11,"")</f>
        <v/>
      </c>
      <c r="B27" s="13">
        <f>IF(11&lt;=$B$13,B26*(1+$B$10/100),"")</f>
        <v/>
      </c>
      <c r="C27" s="10">
        <f>IF(11&lt;=$B$13,(B27/B26-1)*100,"")</f>
        <v/>
      </c>
      <c r="D27" s="10">
        <f>IF(11&lt;=$B$13,IF($B$12="",IF($B$11="",IF($B$9=1,C27+$B$8,((1+C27/100)*(1+$B$8/100)-1)*100),MIN($B$11,IF($B$9=1,C27+$B$8,((1+C27/100)*(1+$B$8/100)-1)*100))),MAX($B$12,IF($B$11="",IF($B$9=1,C27+$B$8,((1+C27/100)*(1+$B$8/100)-1)*100),MIN($B$11,IF($B$9=1,C27+$B$8,((1+C27/100)*(1+$B$8/100)-1)*100))))),"")</f>
        <v/>
      </c>
      <c r="E27" s="11">
        <f>IF(11&lt;=$B$13,E26*(1+D27/100),"")</f>
        <v/>
      </c>
      <c r="F27" s="11">
        <f>IF(11&lt;=$B$13,E27*12,"")</f>
        <v/>
      </c>
    </row>
    <row r="28">
      <c r="A28">
        <f>IF(12&lt;=$B$13,12,"")</f>
        <v/>
      </c>
      <c r="B28" s="13">
        <f>IF(12&lt;=$B$13,B27*(1+$B$10/100),"")</f>
        <v/>
      </c>
      <c r="C28" s="10">
        <f>IF(12&lt;=$B$13,(B28/B27-1)*100,"")</f>
        <v/>
      </c>
      <c r="D28" s="10">
        <f>IF(12&lt;=$B$13,IF($B$12="",IF($B$11="",IF($B$9=1,C28+$B$8,((1+C28/100)*(1+$B$8/100)-1)*100),MIN($B$11,IF($B$9=1,C28+$B$8,((1+C28/100)*(1+$B$8/100)-1)*100))),MAX($B$12,IF($B$11="",IF($B$9=1,C28+$B$8,((1+C28/100)*(1+$B$8/100)-1)*100),MIN($B$11,IF($B$9=1,C28+$B$8,((1+C28/100)*(1+$B$8/100)-1)*100))))),"")</f>
        <v/>
      </c>
      <c r="E28" s="11">
        <f>IF(12&lt;=$B$13,E27*(1+D28/100),"")</f>
        <v/>
      </c>
      <c r="F28" s="11">
        <f>IF(12&lt;=$B$13,E28*12,"")</f>
        <v/>
      </c>
    </row>
    <row r="29">
      <c r="A29">
        <f>IF(13&lt;=$B$13,13,"")</f>
        <v/>
      </c>
      <c r="B29" s="13">
        <f>IF(13&lt;=$B$13,B28*(1+$B$10/100),"")</f>
        <v/>
      </c>
      <c r="C29" s="10">
        <f>IF(13&lt;=$B$13,(B29/B28-1)*100,"")</f>
        <v/>
      </c>
      <c r="D29" s="10">
        <f>IF(13&lt;=$B$13,IF($B$12="",IF($B$11="",IF($B$9=1,C29+$B$8,((1+C29/100)*(1+$B$8/100)-1)*100),MIN($B$11,IF($B$9=1,C29+$B$8,((1+C29/100)*(1+$B$8/100)-1)*100))),MAX($B$12,IF($B$11="",IF($B$9=1,C29+$B$8,((1+C29/100)*(1+$B$8/100)-1)*100),MIN($B$11,IF($B$9=1,C29+$B$8,((1+C29/100)*(1+$B$8/100)-1)*100))))),"")</f>
        <v/>
      </c>
      <c r="E29" s="11">
        <f>IF(13&lt;=$B$13,E28*(1+D29/100),"")</f>
        <v/>
      </c>
      <c r="F29" s="11">
        <f>IF(13&lt;=$B$13,E29*12,"")</f>
        <v/>
      </c>
    </row>
    <row r="30">
      <c r="A30">
        <f>IF(14&lt;=$B$13,14,"")</f>
        <v/>
      </c>
      <c r="B30" s="13">
        <f>IF(14&lt;=$B$13,B29*(1+$B$10/100),"")</f>
        <v/>
      </c>
      <c r="C30" s="10">
        <f>IF(14&lt;=$B$13,(B30/B29-1)*100,"")</f>
        <v/>
      </c>
      <c r="D30" s="10">
        <f>IF(14&lt;=$B$13,IF($B$12="",IF($B$11="",IF($B$9=1,C30+$B$8,((1+C30/100)*(1+$B$8/100)-1)*100),MIN($B$11,IF($B$9=1,C30+$B$8,((1+C30/100)*(1+$B$8/100)-1)*100))),MAX($B$12,IF($B$11="",IF($B$9=1,C30+$B$8,((1+C30/100)*(1+$B$8/100)-1)*100),MIN($B$11,IF($B$9=1,C30+$B$8,((1+C30/100)*(1+$B$8/100)-1)*100))))),"")</f>
        <v/>
      </c>
      <c r="E30" s="11">
        <f>IF(14&lt;=$B$13,E29*(1+D30/100),"")</f>
        <v/>
      </c>
      <c r="F30" s="11">
        <f>IF(14&lt;=$B$13,E30*12,"")</f>
        <v/>
      </c>
    </row>
    <row r="31">
      <c r="A31">
        <f>IF(15&lt;=$B$13,15,"")</f>
        <v/>
      </c>
      <c r="B31" s="13">
        <f>IF(15&lt;=$B$13,B30*(1+$B$10/100),"")</f>
        <v/>
      </c>
      <c r="C31" s="10">
        <f>IF(15&lt;=$B$13,(B31/B30-1)*100,"")</f>
        <v/>
      </c>
      <c r="D31" s="10">
        <f>IF(15&lt;=$B$13,IF($B$12="",IF($B$11="",IF($B$9=1,C31+$B$8,((1+C31/100)*(1+$B$8/100)-1)*100),MIN($B$11,IF($B$9=1,C31+$B$8,((1+C31/100)*(1+$B$8/100)-1)*100))),MAX($B$12,IF($B$11="",IF($B$9=1,C31+$B$8,((1+C31/100)*(1+$B$8/100)-1)*100),MIN($B$11,IF($B$9=1,C31+$B$8,((1+C31/100)*(1+$B$8/100)-1)*100))))),"")</f>
        <v/>
      </c>
      <c r="E31" s="11">
        <f>IF(15&lt;=$B$13,E30*(1+D31/100),"")</f>
        <v/>
      </c>
      <c r="F31" s="11">
        <f>IF(15&lt;=$B$13,E31*12,"")</f>
        <v/>
      </c>
    </row>
    <row r="32">
      <c r="A32">
        <f>IF(16&lt;=$B$13,16,"")</f>
        <v/>
      </c>
      <c r="B32" s="13">
        <f>IF(16&lt;=$B$13,B31*(1+$B$10/100),"")</f>
        <v/>
      </c>
      <c r="C32" s="10">
        <f>IF(16&lt;=$B$13,(B32/B31-1)*100,"")</f>
        <v/>
      </c>
      <c r="D32" s="10">
        <f>IF(16&lt;=$B$13,IF($B$12="",IF($B$11="",IF($B$9=1,C32+$B$8,((1+C32/100)*(1+$B$8/100)-1)*100),MIN($B$11,IF($B$9=1,C32+$B$8,((1+C32/100)*(1+$B$8/100)-1)*100))),MAX($B$12,IF($B$11="",IF($B$9=1,C32+$B$8,((1+C32/100)*(1+$B$8/100)-1)*100),MIN($B$11,IF($B$9=1,C32+$B$8,((1+C32/100)*(1+$B$8/100)-1)*100))))),"")</f>
        <v/>
      </c>
      <c r="E32" s="11">
        <f>IF(16&lt;=$B$13,E31*(1+D32/100),"")</f>
        <v/>
      </c>
      <c r="F32" s="11">
        <f>IF(16&lt;=$B$13,E32*12,"")</f>
        <v/>
      </c>
    </row>
    <row r="33">
      <c r="A33">
        <f>IF(17&lt;=$B$13,17,"")</f>
        <v/>
      </c>
      <c r="B33" s="13">
        <f>IF(17&lt;=$B$13,B32*(1+$B$10/100),"")</f>
        <v/>
      </c>
      <c r="C33" s="10">
        <f>IF(17&lt;=$B$13,(B33/B32-1)*100,"")</f>
        <v/>
      </c>
      <c r="D33" s="10">
        <f>IF(17&lt;=$B$13,IF($B$12="",IF($B$11="",IF($B$9=1,C33+$B$8,((1+C33/100)*(1+$B$8/100)-1)*100),MIN($B$11,IF($B$9=1,C33+$B$8,((1+C33/100)*(1+$B$8/100)-1)*100))),MAX($B$12,IF($B$11="",IF($B$9=1,C33+$B$8,((1+C33/100)*(1+$B$8/100)-1)*100),MIN($B$11,IF($B$9=1,C33+$B$8,((1+C33/100)*(1+$B$8/100)-1)*100))))),"")</f>
        <v/>
      </c>
      <c r="E33" s="11">
        <f>IF(17&lt;=$B$13,E32*(1+D33/100),"")</f>
        <v/>
      </c>
      <c r="F33" s="11">
        <f>IF(17&lt;=$B$13,E33*12,"")</f>
        <v/>
      </c>
    </row>
    <row r="34">
      <c r="A34">
        <f>IF(18&lt;=$B$13,18,"")</f>
        <v/>
      </c>
      <c r="B34" s="13">
        <f>IF(18&lt;=$B$13,B33*(1+$B$10/100),"")</f>
        <v/>
      </c>
      <c r="C34" s="10">
        <f>IF(18&lt;=$B$13,(B34/B33-1)*100,"")</f>
        <v/>
      </c>
      <c r="D34" s="10">
        <f>IF(18&lt;=$B$13,IF($B$12="",IF($B$11="",IF($B$9=1,C34+$B$8,((1+C34/100)*(1+$B$8/100)-1)*100),MIN($B$11,IF($B$9=1,C34+$B$8,((1+C34/100)*(1+$B$8/100)-1)*100))),MAX($B$12,IF($B$11="",IF($B$9=1,C34+$B$8,((1+C34/100)*(1+$B$8/100)-1)*100),MIN($B$11,IF($B$9=1,C34+$B$8,((1+C34/100)*(1+$B$8/100)-1)*100))))),"")</f>
        <v/>
      </c>
      <c r="E34" s="11">
        <f>IF(18&lt;=$B$13,E33*(1+D34/100),"")</f>
        <v/>
      </c>
      <c r="F34" s="11">
        <f>IF(18&lt;=$B$13,E34*12,"")</f>
        <v/>
      </c>
    </row>
    <row r="35">
      <c r="A35">
        <f>IF(19&lt;=$B$13,19,"")</f>
        <v/>
      </c>
      <c r="B35" s="13">
        <f>IF(19&lt;=$B$13,B34*(1+$B$10/100),"")</f>
        <v/>
      </c>
      <c r="C35" s="10">
        <f>IF(19&lt;=$B$13,(B35/B34-1)*100,"")</f>
        <v/>
      </c>
      <c r="D35" s="10">
        <f>IF(19&lt;=$B$13,IF($B$12="",IF($B$11="",IF($B$9=1,C35+$B$8,((1+C35/100)*(1+$B$8/100)-1)*100),MIN($B$11,IF($B$9=1,C35+$B$8,((1+C35/100)*(1+$B$8/100)-1)*100))),MAX($B$12,IF($B$11="",IF($B$9=1,C35+$B$8,((1+C35/100)*(1+$B$8/100)-1)*100),MIN($B$11,IF($B$9=1,C35+$B$8,((1+C35/100)*(1+$B$8/100)-1)*100))))),"")</f>
        <v/>
      </c>
      <c r="E35" s="11">
        <f>IF(19&lt;=$B$13,E34*(1+D35/100),"")</f>
        <v/>
      </c>
      <c r="F35" s="11">
        <f>IF(19&lt;=$B$13,E35*12,"")</f>
        <v/>
      </c>
    </row>
    <row r="36">
      <c r="A36">
        <f>IF(20&lt;=$B$13,20,"")</f>
        <v/>
      </c>
      <c r="B36" s="13">
        <f>IF(20&lt;=$B$13,B35*(1+$B$10/100),"")</f>
        <v/>
      </c>
      <c r="C36" s="10">
        <f>IF(20&lt;=$B$13,(B36/B35-1)*100,"")</f>
        <v/>
      </c>
      <c r="D36" s="10">
        <f>IF(20&lt;=$B$13,IF($B$12="",IF($B$11="",IF($B$9=1,C36+$B$8,((1+C36/100)*(1+$B$8/100)-1)*100),MIN($B$11,IF($B$9=1,C36+$B$8,((1+C36/100)*(1+$B$8/100)-1)*100))),MAX($B$12,IF($B$11="",IF($B$9=1,C36+$B$8,((1+C36/100)*(1+$B$8/100)-1)*100),MIN($B$11,IF($B$9=1,C36+$B$8,((1+C36/100)*(1+$B$8/100)-1)*100))))),"")</f>
        <v/>
      </c>
      <c r="E36" s="11">
        <f>IF(20&lt;=$B$13,E35*(1+D36/100),"")</f>
        <v/>
      </c>
      <c r="F36" s="11">
        <f>IF(20&lt;=$B$13,E36*12,"")</f>
        <v/>
      </c>
    </row>
    <row r="37">
      <c r="A37">
        <f>IF(21&lt;=$B$13,21,"")</f>
        <v/>
      </c>
      <c r="B37" s="13">
        <f>IF(21&lt;=$B$13,B36*(1+$B$10/100),"")</f>
        <v/>
      </c>
      <c r="C37" s="10">
        <f>IF(21&lt;=$B$13,(B37/B36-1)*100,"")</f>
        <v/>
      </c>
      <c r="D37" s="10">
        <f>IF(21&lt;=$B$13,IF($B$12="",IF($B$11="",IF($B$9=1,C37+$B$8,((1+C37/100)*(1+$B$8/100)-1)*100),MIN($B$11,IF($B$9=1,C37+$B$8,((1+C37/100)*(1+$B$8/100)-1)*100))),MAX($B$12,IF($B$11="",IF($B$9=1,C37+$B$8,((1+C37/100)*(1+$B$8/100)-1)*100),MIN($B$11,IF($B$9=1,C37+$B$8,((1+C37/100)*(1+$B$8/100)-1)*100))))),"")</f>
        <v/>
      </c>
      <c r="E37" s="11">
        <f>IF(21&lt;=$B$13,E36*(1+D37/100),"")</f>
        <v/>
      </c>
      <c r="F37" s="11">
        <f>IF(21&lt;=$B$13,E37*12,"")</f>
        <v/>
      </c>
    </row>
    <row r="38">
      <c r="A38">
        <f>IF(22&lt;=$B$13,22,"")</f>
        <v/>
      </c>
      <c r="B38" s="13">
        <f>IF(22&lt;=$B$13,B37*(1+$B$10/100),"")</f>
        <v/>
      </c>
      <c r="C38" s="10">
        <f>IF(22&lt;=$B$13,(B38/B37-1)*100,"")</f>
        <v/>
      </c>
      <c r="D38" s="10">
        <f>IF(22&lt;=$B$13,IF($B$12="",IF($B$11="",IF($B$9=1,C38+$B$8,((1+C38/100)*(1+$B$8/100)-1)*100),MIN($B$11,IF($B$9=1,C38+$B$8,((1+C38/100)*(1+$B$8/100)-1)*100))),MAX($B$12,IF($B$11="",IF($B$9=1,C38+$B$8,((1+C38/100)*(1+$B$8/100)-1)*100),MIN($B$11,IF($B$9=1,C38+$B$8,((1+C38/100)*(1+$B$8/100)-1)*100))))),"")</f>
        <v/>
      </c>
      <c r="E38" s="11">
        <f>IF(22&lt;=$B$13,E37*(1+D38/100),"")</f>
        <v/>
      </c>
      <c r="F38" s="11">
        <f>IF(22&lt;=$B$13,E38*12,"")</f>
        <v/>
      </c>
    </row>
    <row r="39">
      <c r="A39">
        <f>IF(23&lt;=$B$13,23,"")</f>
        <v/>
      </c>
      <c r="B39" s="13">
        <f>IF(23&lt;=$B$13,B38*(1+$B$10/100),"")</f>
        <v/>
      </c>
      <c r="C39" s="10">
        <f>IF(23&lt;=$B$13,(B39/B38-1)*100,"")</f>
        <v/>
      </c>
      <c r="D39" s="10">
        <f>IF(23&lt;=$B$13,IF($B$12="",IF($B$11="",IF($B$9=1,C39+$B$8,((1+C39/100)*(1+$B$8/100)-1)*100),MIN($B$11,IF($B$9=1,C39+$B$8,((1+C39/100)*(1+$B$8/100)-1)*100))),MAX($B$12,IF($B$11="",IF($B$9=1,C39+$B$8,((1+C39/100)*(1+$B$8/100)-1)*100),MIN($B$11,IF($B$9=1,C39+$B$8,((1+C39/100)*(1+$B$8/100)-1)*100))))),"")</f>
        <v/>
      </c>
      <c r="E39" s="11">
        <f>IF(23&lt;=$B$13,E38*(1+D39/100),"")</f>
        <v/>
      </c>
      <c r="F39" s="11">
        <f>IF(23&lt;=$B$13,E39*12,"")</f>
        <v/>
      </c>
    </row>
    <row r="40">
      <c r="A40">
        <f>IF(24&lt;=$B$13,24,"")</f>
        <v/>
      </c>
      <c r="B40" s="13">
        <f>IF(24&lt;=$B$13,B39*(1+$B$10/100),"")</f>
        <v/>
      </c>
      <c r="C40" s="10">
        <f>IF(24&lt;=$B$13,(B40/B39-1)*100,"")</f>
        <v/>
      </c>
      <c r="D40" s="10">
        <f>IF(24&lt;=$B$13,IF($B$12="",IF($B$11="",IF($B$9=1,C40+$B$8,((1+C40/100)*(1+$B$8/100)-1)*100),MIN($B$11,IF($B$9=1,C40+$B$8,((1+C40/100)*(1+$B$8/100)-1)*100))),MAX($B$12,IF($B$11="",IF($B$9=1,C40+$B$8,((1+C40/100)*(1+$B$8/100)-1)*100),MIN($B$11,IF($B$9=1,C40+$B$8,((1+C40/100)*(1+$B$8/100)-1)*100))))),"")</f>
        <v/>
      </c>
      <c r="E40" s="11">
        <f>IF(24&lt;=$B$13,E39*(1+D40/100),"")</f>
        <v/>
      </c>
      <c r="F40" s="11">
        <f>IF(24&lt;=$B$13,E40*12,"")</f>
        <v/>
      </c>
    </row>
    <row r="41">
      <c r="A41">
        <f>IF(25&lt;=$B$13,25,"")</f>
        <v/>
      </c>
      <c r="B41" s="13">
        <f>IF(25&lt;=$B$13,B40*(1+$B$10/100),"")</f>
        <v/>
      </c>
      <c r="C41" s="10">
        <f>IF(25&lt;=$B$13,(B41/B40-1)*100,"")</f>
        <v/>
      </c>
      <c r="D41" s="10">
        <f>IF(25&lt;=$B$13,IF($B$12="",IF($B$11="",IF($B$9=1,C41+$B$8,((1+C41/100)*(1+$B$8/100)-1)*100),MIN($B$11,IF($B$9=1,C41+$B$8,((1+C41/100)*(1+$B$8/100)-1)*100))),MAX($B$12,IF($B$11="",IF($B$9=1,C41+$B$8,((1+C41/100)*(1+$B$8/100)-1)*100),MIN($B$11,IF($B$9=1,C41+$B$8,((1+C41/100)*(1+$B$8/100)-1)*100))))),"")</f>
        <v/>
      </c>
      <c r="E41" s="11">
        <f>IF(25&lt;=$B$13,E40*(1+D41/100),"")</f>
        <v/>
      </c>
      <c r="F41" s="11">
        <f>IF(25&lt;=$B$13,E41*12,"")</f>
        <v/>
      </c>
    </row>
    <row r="42">
      <c r="A42">
        <f>IF(26&lt;=$B$13,26,"")</f>
        <v/>
      </c>
      <c r="B42" s="13">
        <f>IF(26&lt;=$B$13,B41*(1+$B$10/100),"")</f>
        <v/>
      </c>
      <c r="C42" s="10">
        <f>IF(26&lt;=$B$13,(B42/B41-1)*100,"")</f>
        <v/>
      </c>
      <c r="D42" s="10">
        <f>IF(26&lt;=$B$13,IF($B$12="",IF($B$11="",IF($B$9=1,C42+$B$8,((1+C42/100)*(1+$B$8/100)-1)*100),MIN($B$11,IF($B$9=1,C42+$B$8,((1+C42/100)*(1+$B$8/100)-1)*100))),MAX($B$12,IF($B$11="",IF($B$9=1,C42+$B$8,((1+C42/100)*(1+$B$8/100)-1)*100),MIN($B$11,IF($B$9=1,C42+$B$8,((1+C42/100)*(1+$B$8/100)-1)*100))))),"")</f>
        <v/>
      </c>
      <c r="E42" s="11">
        <f>IF(26&lt;=$B$13,E41*(1+D42/100),"")</f>
        <v/>
      </c>
      <c r="F42" s="11">
        <f>IF(26&lt;=$B$13,E42*12,"")</f>
        <v/>
      </c>
    </row>
    <row r="43">
      <c r="A43">
        <f>IF(27&lt;=$B$13,27,"")</f>
        <v/>
      </c>
      <c r="B43" s="13">
        <f>IF(27&lt;=$B$13,B42*(1+$B$10/100),"")</f>
        <v/>
      </c>
      <c r="C43" s="10">
        <f>IF(27&lt;=$B$13,(B43/B42-1)*100,"")</f>
        <v/>
      </c>
      <c r="D43" s="10">
        <f>IF(27&lt;=$B$13,IF($B$12="",IF($B$11="",IF($B$9=1,C43+$B$8,((1+C43/100)*(1+$B$8/100)-1)*100),MIN($B$11,IF($B$9=1,C43+$B$8,((1+C43/100)*(1+$B$8/100)-1)*100))),MAX($B$12,IF($B$11="",IF($B$9=1,C43+$B$8,((1+C43/100)*(1+$B$8/100)-1)*100),MIN($B$11,IF($B$9=1,C43+$B$8,((1+C43/100)*(1+$B$8/100)-1)*100))))),"")</f>
        <v/>
      </c>
      <c r="E43" s="11">
        <f>IF(27&lt;=$B$13,E42*(1+D43/100),"")</f>
        <v/>
      </c>
      <c r="F43" s="11">
        <f>IF(27&lt;=$B$13,E43*12,"")</f>
        <v/>
      </c>
    </row>
    <row r="44">
      <c r="A44">
        <f>IF(28&lt;=$B$13,28,"")</f>
        <v/>
      </c>
      <c r="B44" s="13">
        <f>IF(28&lt;=$B$13,B43*(1+$B$10/100),"")</f>
        <v/>
      </c>
      <c r="C44" s="10">
        <f>IF(28&lt;=$B$13,(B44/B43-1)*100,"")</f>
        <v/>
      </c>
      <c r="D44" s="10">
        <f>IF(28&lt;=$B$13,IF($B$12="",IF($B$11="",IF($B$9=1,C44+$B$8,((1+C44/100)*(1+$B$8/100)-1)*100),MIN($B$11,IF($B$9=1,C44+$B$8,((1+C44/100)*(1+$B$8/100)-1)*100))),MAX($B$12,IF($B$11="",IF($B$9=1,C44+$B$8,((1+C44/100)*(1+$B$8/100)-1)*100),MIN($B$11,IF($B$9=1,C44+$B$8,((1+C44/100)*(1+$B$8/100)-1)*100))))),"")</f>
        <v/>
      </c>
      <c r="E44" s="11">
        <f>IF(28&lt;=$B$13,E43*(1+D44/100),"")</f>
        <v/>
      </c>
      <c r="F44" s="11">
        <f>IF(28&lt;=$B$13,E44*12,"")</f>
        <v/>
      </c>
    </row>
    <row r="45">
      <c r="A45">
        <f>IF(29&lt;=$B$13,29,"")</f>
        <v/>
      </c>
      <c r="B45" s="13">
        <f>IF(29&lt;=$B$13,B44*(1+$B$10/100),"")</f>
        <v/>
      </c>
      <c r="C45" s="10">
        <f>IF(29&lt;=$B$13,(B45/B44-1)*100,"")</f>
        <v/>
      </c>
      <c r="D45" s="10">
        <f>IF(29&lt;=$B$13,IF($B$12="",IF($B$11="",IF($B$9=1,C45+$B$8,((1+C45/100)*(1+$B$8/100)-1)*100),MIN($B$11,IF($B$9=1,C45+$B$8,((1+C45/100)*(1+$B$8/100)-1)*100))),MAX($B$12,IF($B$11="",IF($B$9=1,C45+$B$8,((1+C45/100)*(1+$B$8/100)-1)*100),MIN($B$11,IF($B$9=1,C45+$B$8,((1+C45/100)*(1+$B$8/100)-1)*100))))),"")</f>
        <v/>
      </c>
      <c r="E45" s="11">
        <f>IF(29&lt;=$B$13,E44*(1+D45/100),"")</f>
        <v/>
      </c>
      <c r="F45" s="11">
        <f>IF(29&lt;=$B$13,E45*12,"")</f>
        <v/>
      </c>
    </row>
    <row r="46">
      <c r="A46">
        <f>IF(30&lt;=$B$13,30,"")</f>
        <v/>
      </c>
      <c r="B46" s="13">
        <f>IF(30&lt;=$B$13,B45*(1+$B$10/100),"")</f>
        <v/>
      </c>
      <c r="C46" s="10">
        <f>IF(30&lt;=$B$13,(B46/B45-1)*100,"")</f>
        <v/>
      </c>
      <c r="D46" s="10">
        <f>IF(30&lt;=$B$13,IF($B$12="",IF($B$11="",IF($B$9=1,C46+$B$8,((1+C46/100)*(1+$B$8/100)-1)*100),MIN($B$11,IF($B$9=1,C46+$B$8,((1+C46/100)*(1+$B$8/100)-1)*100))),MAX($B$12,IF($B$11="",IF($B$9=1,C46+$B$8,((1+C46/100)*(1+$B$8/100)-1)*100),MIN($B$11,IF($B$9=1,C46+$B$8,((1+C46/100)*(1+$B$8/100)-1)*100))))),"")</f>
        <v/>
      </c>
      <c r="E46" s="11">
        <f>IF(30&lt;=$B$13,E45*(1+D46/100),"")</f>
        <v/>
      </c>
      <c r="F46" s="11">
        <f>IF(30&lt;=$B$13,E46*12,"")</f>
        <v/>
      </c>
    </row>
    <row r="48">
      <c r="A48" s="4" t="inlineStr">
        <is>
          <t>Final rent per period</t>
        </is>
      </c>
      <c r="B48" s="11">
        <f>LOOKUP(2,1/(E17:E46&lt;&gt;""),E17:E46)</f>
        <v/>
      </c>
    </row>
    <row r="49">
      <c r="A49" s="4" t="inlineStr">
        <is>
          <t>Total uplift vs base %</t>
        </is>
      </c>
      <c r="B49" s="10">
        <f>(B48/$B$4-1)*100</f>
        <v/>
      </c>
    </row>
    <row r="51">
      <c r="A51" s="2" t="inlineStr">
        <is>
          <t>Column B is blue because it is an input as much as a result: the first review takes the index you entered above, later reviews project it forward, and each projected value can be overwritten with the published figure once it is released. Cap and collar apply per adjustment.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2"/>
  <sheetViews>
    <sheetView workbookViewId="0">
      <pane ySplit="10" topLeftCell="A11" activePane="bottomLeft" state="frozen"/>
      <selection pane="bottomLeft" activeCell="A1" sqref="A1"/>
    </sheetView>
  </sheetViews>
  <sheetFormatPr baseColWidth="8" defaultRowHeight="15"/>
  <cols>
    <col width="34" customWidth="1" min="1" max="1"/>
    <col width="22" customWidth="1" min="2" max="2"/>
    <col width="22" customWidth="1" min="3" max="3"/>
    <col width="22" customWidth="1" min="4" max="4"/>
    <col width="22" customWidth="1" min="5" max="5"/>
    <col width="22" customWidth="1" min="6" max="6"/>
  </cols>
  <sheetData>
    <row r="1">
      <c r="A1" s="1" t="inlineStr">
        <is>
          <t>Compound versus simple escalation</t>
        </is>
      </c>
    </row>
    <row r="2">
      <c r="A2" s="2" t="inlineStr">
        <is>
          <t>The same rate applied to the rent then in force (compound) and to the initial rent (simple). Year 1 is the starting rent; each later year follows one adjustment.</t>
        </is>
      </c>
    </row>
    <row r="4">
      <c r="A4" s="4" t="inlineStr">
        <is>
          <t>Base rent per period</t>
        </is>
      </c>
      <c r="B4" s="5" t="n">
        <v>1250</v>
      </c>
      <c r="C4" s="2" t="inlineStr">
        <is>
          <t>Illustrative input</t>
        </is>
      </c>
    </row>
    <row r="5">
      <c r="A5" s="4" t="inlineStr">
        <is>
          <t>Currency label</t>
        </is>
      </c>
      <c r="B5" s="6" t="inlineStr">
        <is>
          <t>EUR</t>
        </is>
      </c>
      <c r="C5" s="2" t="inlineStr">
        <is>
          <t>Text only</t>
        </is>
      </c>
    </row>
    <row r="6">
      <c r="A6" s="4" t="inlineStr">
        <is>
          <t>Escalation % per adjustment</t>
        </is>
      </c>
      <c r="B6" s="7" t="n">
        <v>3.5</v>
      </c>
      <c r="C6" s="2" t="inlineStr">
        <is>
          <t>e.g. a 2.0% index change plus a 1.5% margin, additive reading</t>
        </is>
      </c>
    </row>
    <row r="7">
      <c r="A7" s="4" t="inlineStr">
        <is>
          <t>Years to show (1 to 30)</t>
        </is>
      </c>
      <c r="B7" s="8" t="n">
        <v>12</v>
      </c>
      <c r="C7" s="2" t="inlineStr">
        <is>
          <t>A 12-year term has 11 adjustments</t>
        </is>
      </c>
    </row>
    <row r="10">
      <c r="A10" s="9" t="inlineStr">
        <is>
          <t>Rent year</t>
        </is>
      </c>
      <c r="B10" s="9" t="inlineStr">
        <is>
          <t>Compound: rent per period</t>
        </is>
      </c>
      <c r="C10" s="9" t="inlineStr">
        <is>
          <t>Simple: rent per period</t>
        </is>
      </c>
      <c r="D10" s="9" t="inlineStr">
        <is>
          <t>Gap per period</t>
        </is>
      </c>
      <c r="E10" s="9" t="inlineStr">
        <is>
          <t>Compound: annual rent</t>
        </is>
      </c>
      <c r="F10" s="9" t="inlineStr">
        <is>
          <t>Simple: annual rent</t>
        </is>
      </c>
    </row>
    <row r="11">
      <c r="A11">
        <f>IF(1&lt;=$B$7,1,"")</f>
        <v/>
      </c>
      <c r="B11" s="11">
        <f>IF(1&lt;=$B$7,$B$4*(1+$B$6/100)^0,"")</f>
        <v/>
      </c>
      <c r="C11" s="11">
        <f>IF(1&lt;=$B$7,$B$4*(1+$B$6/100*0),"")</f>
        <v/>
      </c>
      <c r="D11" s="11">
        <f>IF(1&lt;=$B$7,B11-C11,"")</f>
        <v/>
      </c>
      <c r="E11" s="11">
        <f>IF(1&lt;=$B$7,B11*12,"")</f>
        <v/>
      </c>
      <c r="F11" s="11">
        <f>IF(1&lt;=$B$7,C11*12,"")</f>
        <v/>
      </c>
    </row>
    <row r="12">
      <c r="A12">
        <f>IF(2&lt;=$B$7,2,"")</f>
        <v/>
      </c>
      <c r="B12" s="11">
        <f>IF(2&lt;=$B$7,$B$4*(1+$B$6/100)^1,"")</f>
        <v/>
      </c>
      <c r="C12" s="11">
        <f>IF(2&lt;=$B$7,$B$4*(1+$B$6/100*1),"")</f>
        <v/>
      </c>
      <c r="D12" s="11">
        <f>IF(2&lt;=$B$7,B12-C12,"")</f>
        <v/>
      </c>
      <c r="E12" s="11">
        <f>IF(2&lt;=$B$7,B12*12,"")</f>
        <v/>
      </c>
      <c r="F12" s="11">
        <f>IF(2&lt;=$B$7,C12*12,"")</f>
        <v/>
      </c>
    </row>
    <row r="13">
      <c r="A13">
        <f>IF(3&lt;=$B$7,3,"")</f>
        <v/>
      </c>
      <c r="B13" s="11">
        <f>IF(3&lt;=$B$7,$B$4*(1+$B$6/100)^2,"")</f>
        <v/>
      </c>
      <c r="C13" s="11">
        <f>IF(3&lt;=$B$7,$B$4*(1+$B$6/100*2),"")</f>
        <v/>
      </c>
      <c r="D13" s="11">
        <f>IF(3&lt;=$B$7,B13-C13,"")</f>
        <v/>
      </c>
      <c r="E13" s="11">
        <f>IF(3&lt;=$B$7,B13*12,"")</f>
        <v/>
      </c>
      <c r="F13" s="11">
        <f>IF(3&lt;=$B$7,C13*12,"")</f>
        <v/>
      </c>
    </row>
    <row r="14">
      <c r="A14">
        <f>IF(4&lt;=$B$7,4,"")</f>
        <v/>
      </c>
      <c r="B14" s="11">
        <f>IF(4&lt;=$B$7,$B$4*(1+$B$6/100)^3,"")</f>
        <v/>
      </c>
      <c r="C14" s="11">
        <f>IF(4&lt;=$B$7,$B$4*(1+$B$6/100*3),"")</f>
        <v/>
      </c>
      <c r="D14" s="11">
        <f>IF(4&lt;=$B$7,B14-C14,"")</f>
        <v/>
      </c>
      <c r="E14" s="11">
        <f>IF(4&lt;=$B$7,B14*12,"")</f>
        <v/>
      </c>
      <c r="F14" s="11">
        <f>IF(4&lt;=$B$7,C14*12,"")</f>
        <v/>
      </c>
    </row>
    <row r="15">
      <c r="A15">
        <f>IF(5&lt;=$B$7,5,"")</f>
        <v/>
      </c>
      <c r="B15" s="11">
        <f>IF(5&lt;=$B$7,$B$4*(1+$B$6/100)^4,"")</f>
        <v/>
      </c>
      <c r="C15" s="11">
        <f>IF(5&lt;=$B$7,$B$4*(1+$B$6/100*4),"")</f>
        <v/>
      </c>
      <c r="D15" s="11">
        <f>IF(5&lt;=$B$7,B15-C15,"")</f>
        <v/>
      </c>
      <c r="E15" s="11">
        <f>IF(5&lt;=$B$7,B15*12,"")</f>
        <v/>
      </c>
      <c r="F15" s="11">
        <f>IF(5&lt;=$B$7,C15*12,"")</f>
        <v/>
      </c>
    </row>
    <row r="16">
      <c r="A16">
        <f>IF(6&lt;=$B$7,6,"")</f>
        <v/>
      </c>
      <c r="B16" s="11">
        <f>IF(6&lt;=$B$7,$B$4*(1+$B$6/100)^5,"")</f>
        <v/>
      </c>
      <c r="C16" s="11">
        <f>IF(6&lt;=$B$7,$B$4*(1+$B$6/100*5),"")</f>
        <v/>
      </c>
      <c r="D16" s="11">
        <f>IF(6&lt;=$B$7,B16-C16,"")</f>
        <v/>
      </c>
      <c r="E16" s="11">
        <f>IF(6&lt;=$B$7,B16*12,"")</f>
        <v/>
      </c>
      <c r="F16" s="11">
        <f>IF(6&lt;=$B$7,C16*12,"")</f>
        <v/>
      </c>
    </row>
    <row r="17">
      <c r="A17">
        <f>IF(7&lt;=$B$7,7,"")</f>
        <v/>
      </c>
      <c r="B17" s="11">
        <f>IF(7&lt;=$B$7,$B$4*(1+$B$6/100)^6,"")</f>
        <v/>
      </c>
      <c r="C17" s="11">
        <f>IF(7&lt;=$B$7,$B$4*(1+$B$6/100*6),"")</f>
        <v/>
      </c>
      <c r="D17" s="11">
        <f>IF(7&lt;=$B$7,B17-C17,"")</f>
        <v/>
      </c>
      <c r="E17" s="11">
        <f>IF(7&lt;=$B$7,B17*12,"")</f>
        <v/>
      </c>
      <c r="F17" s="11">
        <f>IF(7&lt;=$B$7,C17*12,"")</f>
        <v/>
      </c>
    </row>
    <row r="18">
      <c r="A18">
        <f>IF(8&lt;=$B$7,8,"")</f>
        <v/>
      </c>
      <c r="B18" s="11">
        <f>IF(8&lt;=$B$7,$B$4*(1+$B$6/100)^7,"")</f>
        <v/>
      </c>
      <c r="C18" s="11">
        <f>IF(8&lt;=$B$7,$B$4*(1+$B$6/100*7),"")</f>
        <v/>
      </c>
      <c r="D18" s="11">
        <f>IF(8&lt;=$B$7,B18-C18,"")</f>
        <v/>
      </c>
      <c r="E18" s="11">
        <f>IF(8&lt;=$B$7,B18*12,"")</f>
        <v/>
      </c>
      <c r="F18" s="11">
        <f>IF(8&lt;=$B$7,C18*12,"")</f>
        <v/>
      </c>
    </row>
    <row r="19">
      <c r="A19">
        <f>IF(9&lt;=$B$7,9,"")</f>
        <v/>
      </c>
      <c r="B19" s="11">
        <f>IF(9&lt;=$B$7,$B$4*(1+$B$6/100)^8,"")</f>
        <v/>
      </c>
      <c r="C19" s="11">
        <f>IF(9&lt;=$B$7,$B$4*(1+$B$6/100*8),"")</f>
        <v/>
      </c>
      <c r="D19" s="11">
        <f>IF(9&lt;=$B$7,B19-C19,"")</f>
        <v/>
      </c>
      <c r="E19" s="11">
        <f>IF(9&lt;=$B$7,B19*12,"")</f>
        <v/>
      </c>
      <c r="F19" s="11">
        <f>IF(9&lt;=$B$7,C19*12,"")</f>
        <v/>
      </c>
    </row>
    <row r="20">
      <c r="A20">
        <f>IF(10&lt;=$B$7,10,"")</f>
        <v/>
      </c>
      <c r="B20" s="11">
        <f>IF(10&lt;=$B$7,$B$4*(1+$B$6/100)^9,"")</f>
        <v/>
      </c>
      <c r="C20" s="11">
        <f>IF(10&lt;=$B$7,$B$4*(1+$B$6/100*9),"")</f>
        <v/>
      </c>
      <c r="D20" s="11">
        <f>IF(10&lt;=$B$7,B20-C20,"")</f>
        <v/>
      </c>
      <c r="E20" s="11">
        <f>IF(10&lt;=$B$7,B20*12,"")</f>
        <v/>
      </c>
      <c r="F20" s="11">
        <f>IF(10&lt;=$B$7,C20*12,"")</f>
        <v/>
      </c>
    </row>
    <row r="21">
      <c r="A21">
        <f>IF(11&lt;=$B$7,11,"")</f>
        <v/>
      </c>
      <c r="B21" s="11">
        <f>IF(11&lt;=$B$7,$B$4*(1+$B$6/100)^10,"")</f>
        <v/>
      </c>
      <c r="C21" s="11">
        <f>IF(11&lt;=$B$7,$B$4*(1+$B$6/100*10),"")</f>
        <v/>
      </c>
      <c r="D21" s="11">
        <f>IF(11&lt;=$B$7,B21-C21,"")</f>
        <v/>
      </c>
      <c r="E21" s="11">
        <f>IF(11&lt;=$B$7,B21*12,"")</f>
        <v/>
      </c>
      <c r="F21" s="11">
        <f>IF(11&lt;=$B$7,C21*12,"")</f>
        <v/>
      </c>
    </row>
    <row r="22">
      <c r="A22">
        <f>IF(12&lt;=$B$7,12,"")</f>
        <v/>
      </c>
      <c r="B22" s="11">
        <f>IF(12&lt;=$B$7,$B$4*(1+$B$6/100)^11,"")</f>
        <v/>
      </c>
      <c r="C22" s="11">
        <f>IF(12&lt;=$B$7,$B$4*(1+$B$6/100*11),"")</f>
        <v/>
      </c>
      <c r="D22" s="11">
        <f>IF(12&lt;=$B$7,B22-C22,"")</f>
        <v/>
      </c>
      <c r="E22" s="11">
        <f>IF(12&lt;=$B$7,B22*12,"")</f>
        <v/>
      </c>
      <c r="F22" s="11">
        <f>IF(12&lt;=$B$7,C22*12,"")</f>
        <v/>
      </c>
    </row>
    <row r="23">
      <c r="A23">
        <f>IF(13&lt;=$B$7,13,"")</f>
        <v/>
      </c>
      <c r="B23" s="11">
        <f>IF(13&lt;=$B$7,$B$4*(1+$B$6/100)^12,"")</f>
        <v/>
      </c>
      <c r="C23" s="11">
        <f>IF(13&lt;=$B$7,$B$4*(1+$B$6/100*12),"")</f>
        <v/>
      </c>
      <c r="D23" s="11">
        <f>IF(13&lt;=$B$7,B23-C23,"")</f>
        <v/>
      </c>
      <c r="E23" s="11">
        <f>IF(13&lt;=$B$7,B23*12,"")</f>
        <v/>
      </c>
      <c r="F23" s="11">
        <f>IF(13&lt;=$B$7,C23*12,"")</f>
        <v/>
      </c>
    </row>
    <row r="24">
      <c r="A24">
        <f>IF(14&lt;=$B$7,14,"")</f>
        <v/>
      </c>
      <c r="B24" s="11">
        <f>IF(14&lt;=$B$7,$B$4*(1+$B$6/100)^13,"")</f>
        <v/>
      </c>
      <c r="C24" s="11">
        <f>IF(14&lt;=$B$7,$B$4*(1+$B$6/100*13),"")</f>
        <v/>
      </c>
      <c r="D24" s="11">
        <f>IF(14&lt;=$B$7,B24-C24,"")</f>
        <v/>
      </c>
      <c r="E24" s="11">
        <f>IF(14&lt;=$B$7,B24*12,"")</f>
        <v/>
      </c>
      <c r="F24" s="11">
        <f>IF(14&lt;=$B$7,C24*12,"")</f>
        <v/>
      </c>
    </row>
    <row r="25">
      <c r="A25">
        <f>IF(15&lt;=$B$7,15,"")</f>
        <v/>
      </c>
      <c r="B25" s="11">
        <f>IF(15&lt;=$B$7,$B$4*(1+$B$6/100)^14,"")</f>
        <v/>
      </c>
      <c r="C25" s="11">
        <f>IF(15&lt;=$B$7,$B$4*(1+$B$6/100*14),"")</f>
        <v/>
      </c>
      <c r="D25" s="11">
        <f>IF(15&lt;=$B$7,B25-C25,"")</f>
        <v/>
      </c>
      <c r="E25" s="11">
        <f>IF(15&lt;=$B$7,B25*12,"")</f>
        <v/>
      </c>
      <c r="F25" s="11">
        <f>IF(15&lt;=$B$7,C25*12,"")</f>
        <v/>
      </c>
    </row>
    <row r="26">
      <c r="A26">
        <f>IF(16&lt;=$B$7,16,"")</f>
        <v/>
      </c>
      <c r="B26" s="11">
        <f>IF(16&lt;=$B$7,$B$4*(1+$B$6/100)^15,"")</f>
        <v/>
      </c>
      <c r="C26" s="11">
        <f>IF(16&lt;=$B$7,$B$4*(1+$B$6/100*15),"")</f>
        <v/>
      </c>
      <c r="D26" s="11">
        <f>IF(16&lt;=$B$7,B26-C26,"")</f>
        <v/>
      </c>
      <c r="E26" s="11">
        <f>IF(16&lt;=$B$7,B26*12,"")</f>
        <v/>
      </c>
      <c r="F26" s="11">
        <f>IF(16&lt;=$B$7,C26*12,"")</f>
        <v/>
      </c>
    </row>
    <row r="27">
      <c r="A27">
        <f>IF(17&lt;=$B$7,17,"")</f>
        <v/>
      </c>
      <c r="B27" s="11">
        <f>IF(17&lt;=$B$7,$B$4*(1+$B$6/100)^16,"")</f>
        <v/>
      </c>
      <c r="C27" s="11">
        <f>IF(17&lt;=$B$7,$B$4*(1+$B$6/100*16),"")</f>
        <v/>
      </c>
      <c r="D27" s="11">
        <f>IF(17&lt;=$B$7,B27-C27,"")</f>
        <v/>
      </c>
      <c r="E27" s="11">
        <f>IF(17&lt;=$B$7,B27*12,"")</f>
        <v/>
      </c>
      <c r="F27" s="11">
        <f>IF(17&lt;=$B$7,C27*12,"")</f>
        <v/>
      </c>
    </row>
    <row r="28">
      <c r="A28">
        <f>IF(18&lt;=$B$7,18,"")</f>
        <v/>
      </c>
      <c r="B28" s="11">
        <f>IF(18&lt;=$B$7,$B$4*(1+$B$6/100)^17,"")</f>
        <v/>
      </c>
      <c r="C28" s="11">
        <f>IF(18&lt;=$B$7,$B$4*(1+$B$6/100*17),"")</f>
        <v/>
      </c>
      <c r="D28" s="11">
        <f>IF(18&lt;=$B$7,B28-C28,"")</f>
        <v/>
      </c>
      <c r="E28" s="11">
        <f>IF(18&lt;=$B$7,B28*12,"")</f>
        <v/>
      </c>
      <c r="F28" s="11">
        <f>IF(18&lt;=$B$7,C28*12,"")</f>
        <v/>
      </c>
    </row>
    <row r="29">
      <c r="A29">
        <f>IF(19&lt;=$B$7,19,"")</f>
        <v/>
      </c>
      <c r="B29" s="11">
        <f>IF(19&lt;=$B$7,$B$4*(1+$B$6/100)^18,"")</f>
        <v/>
      </c>
      <c r="C29" s="11">
        <f>IF(19&lt;=$B$7,$B$4*(1+$B$6/100*18),"")</f>
        <v/>
      </c>
      <c r="D29" s="11">
        <f>IF(19&lt;=$B$7,B29-C29,"")</f>
        <v/>
      </c>
      <c r="E29" s="11">
        <f>IF(19&lt;=$B$7,B29*12,"")</f>
        <v/>
      </c>
      <c r="F29" s="11">
        <f>IF(19&lt;=$B$7,C29*12,"")</f>
        <v/>
      </c>
    </row>
    <row r="30">
      <c r="A30">
        <f>IF(20&lt;=$B$7,20,"")</f>
        <v/>
      </c>
      <c r="B30" s="11">
        <f>IF(20&lt;=$B$7,$B$4*(1+$B$6/100)^19,"")</f>
        <v/>
      </c>
      <c r="C30" s="11">
        <f>IF(20&lt;=$B$7,$B$4*(1+$B$6/100*19),"")</f>
        <v/>
      </c>
      <c r="D30" s="11">
        <f>IF(20&lt;=$B$7,B30-C30,"")</f>
        <v/>
      </c>
      <c r="E30" s="11">
        <f>IF(20&lt;=$B$7,B30*12,"")</f>
        <v/>
      </c>
      <c r="F30" s="11">
        <f>IF(20&lt;=$B$7,C30*12,"")</f>
        <v/>
      </c>
    </row>
    <row r="31">
      <c r="A31">
        <f>IF(21&lt;=$B$7,21,"")</f>
        <v/>
      </c>
      <c r="B31" s="11">
        <f>IF(21&lt;=$B$7,$B$4*(1+$B$6/100)^20,"")</f>
        <v/>
      </c>
      <c r="C31" s="11">
        <f>IF(21&lt;=$B$7,$B$4*(1+$B$6/100*20),"")</f>
        <v/>
      </c>
      <c r="D31" s="11">
        <f>IF(21&lt;=$B$7,B31-C31,"")</f>
        <v/>
      </c>
      <c r="E31" s="11">
        <f>IF(21&lt;=$B$7,B31*12,"")</f>
        <v/>
      </c>
      <c r="F31" s="11">
        <f>IF(21&lt;=$B$7,C31*12,"")</f>
        <v/>
      </c>
    </row>
    <row r="32">
      <c r="A32">
        <f>IF(22&lt;=$B$7,22,"")</f>
        <v/>
      </c>
      <c r="B32" s="11">
        <f>IF(22&lt;=$B$7,$B$4*(1+$B$6/100)^21,"")</f>
        <v/>
      </c>
      <c r="C32" s="11">
        <f>IF(22&lt;=$B$7,$B$4*(1+$B$6/100*21),"")</f>
        <v/>
      </c>
      <c r="D32" s="11">
        <f>IF(22&lt;=$B$7,B32-C32,"")</f>
        <v/>
      </c>
      <c r="E32" s="11">
        <f>IF(22&lt;=$B$7,B32*12,"")</f>
        <v/>
      </c>
      <c r="F32" s="11">
        <f>IF(22&lt;=$B$7,C32*12,"")</f>
        <v/>
      </c>
    </row>
    <row r="33">
      <c r="A33">
        <f>IF(23&lt;=$B$7,23,"")</f>
        <v/>
      </c>
      <c r="B33" s="11">
        <f>IF(23&lt;=$B$7,$B$4*(1+$B$6/100)^22,"")</f>
        <v/>
      </c>
      <c r="C33" s="11">
        <f>IF(23&lt;=$B$7,$B$4*(1+$B$6/100*22),"")</f>
        <v/>
      </c>
      <c r="D33" s="11">
        <f>IF(23&lt;=$B$7,B33-C33,"")</f>
        <v/>
      </c>
      <c r="E33" s="11">
        <f>IF(23&lt;=$B$7,B33*12,"")</f>
        <v/>
      </c>
      <c r="F33" s="11">
        <f>IF(23&lt;=$B$7,C33*12,"")</f>
        <v/>
      </c>
    </row>
    <row r="34">
      <c r="A34">
        <f>IF(24&lt;=$B$7,24,"")</f>
        <v/>
      </c>
      <c r="B34" s="11">
        <f>IF(24&lt;=$B$7,$B$4*(1+$B$6/100)^23,"")</f>
        <v/>
      </c>
      <c r="C34" s="11">
        <f>IF(24&lt;=$B$7,$B$4*(1+$B$6/100*23),"")</f>
        <v/>
      </c>
      <c r="D34" s="11">
        <f>IF(24&lt;=$B$7,B34-C34,"")</f>
        <v/>
      </c>
      <c r="E34" s="11">
        <f>IF(24&lt;=$B$7,B34*12,"")</f>
        <v/>
      </c>
      <c r="F34" s="11">
        <f>IF(24&lt;=$B$7,C34*12,"")</f>
        <v/>
      </c>
    </row>
    <row r="35">
      <c r="A35">
        <f>IF(25&lt;=$B$7,25,"")</f>
        <v/>
      </c>
      <c r="B35" s="11">
        <f>IF(25&lt;=$B$7,$B$4*(1+$B$6/100)^24,"")</f>
        <v/>
      </c>
      <c r="C35" s="11">
        <f>IF(25&lt;=$B$7,$B$4*(1+$B$6/100*24),"")</f>
        <v/>
      </c>
      <c r="D35" s="11">
        <f>IF(25&lt;=$B$7,B35-C35,"")</f>
        <v/>
      </c>
      <c r="E35" s="11">
        <f>IF(25&lt;=$B$7,B35*12,"")</f>
        <v/>
      </c>
      <c r="F35" s="11">
        <f>IF(25&lt;=$B$7,C35*12,"")</f>
        <v/>
      </c>
    </row>
    <row r="36">
      <c r="A36">
        <f>IF(26&lt;=$B$7,26,"")</f>
        <v/>
      </c>
      <c r="B36" s="11">
        <f>IF(26&lt;=$B$7,$B$4*(1+$B$6/100)^25,"")</f>
        <v/>
      </c>
      <c r="C36" s="11">
        <f>IF(26&lt;=$B$7,$B$4*(1+$B$6/100*25),"")</f>
        <v/>
      </c>
      <c r="D36" s="11">
        <f>IF(26&lt;=$B$7,B36-C36,"")</f>
        <v/>
      </c>
      <c r="E36" s="11">
        <f>IF(26&lt;=$B$7,B36*12,"")</f>
        <v/>
      </c>
      <c r="F36" s="11">
        <f>IF(26&lt;=$B$7,C36*12,"")</f>
        <v/>
      </c>
    </row>
    <row r="37">
      <c r="A37">
        <f>IF(27&lt;=$B$7,27,"")</f>
        <v/>
      </c>
      <c r="B37" s="11">
        <f>IF(27&lt;=$B$7,$B$4*(1+$B$6/100)^26,"")</f>
        <v/>
      </c>
      <c r="C37" s="11">
        <f>IF(27&lt;=$B$7,$B$4*(1+$B$6/100*26),"")</f>
        <v/>
      </c>
      <c r="D37" s="11">
        <f>IF(27&lt;=$B$7,B37-C37,"")</f>
        <v/>
      </c>
      <c r="E37" s="11">
        <f>IF(27&lt;=$B$7,B37*12,"")</f>
        <v/>
      </c>
      <c r="F37" s="11">
        <f>IF(27&lt;=$B$7,C37*12,"")</f>
        <v/>
      </c>
    </row>
    <row r="38">
      <c r="A38">
        <f>IF(28&lt;=$B$7,28,"")</f>
        <v/>
      </c>
      <c r="B38" s="11">
        <f>IF(28&lt;=$B$7,$B$4*(1+$B$6/100)^27,"")</f>
        <v/>
      </c>
      <c r="C38" s="11">
        <f>IF(28&lt;=$B$7,$B$4*(1+$B$6/100*27),"")</f>
        <v/>
      </c>
      <c r="D38" s="11">
        <f>IF(28&lt;=$B$7,B38-C38,"")</f>
        <v/>
      </c>
      <c r="E38" s="11">
        <f>IF(28&lt;=$B$7,B38*12,"")</f>
        <v/>
      </c>
      <c r="F38" s="11">
        <f>IF(28&lt;=$B$7,C38*12,"")</f>
        <v/>
      </c>
    </row>
    <row r="39">
      <c r="A39">
        <f>IF(29&lt;=$B$7,29,"")</f>
        <v/>
      </c>
      <c r="B39" s="11">
        <f>IF(29&lt;=$B$7,$B$4*(1+$B$6/100)^28,"")</f>
        <v/>
      </c>
      <c r="C39" s="11">
        <f>IF(29&lt;=$B$7,$B$4*(1+$B$6/100*28),"")</f>
        <v/>
      </c>
      <c r="D39" s="11">
        <f>IF(29&lt;=$B$7,B39-C39,"")</f>
        <v/>
      </c>
      <c r="E39" s="11">
        <f>IF(29&lt;=$B$7,B39*12,"")</f>
        <v/>
      </c>
      <c r="F39" s="11">
        <f>IF(29&lt;=$B$7,C39*12,"")</f>
        <v/>
      </c>
    </row>
    <row r="40">
      <c r="A40">
        <f>IF(30&lt;=$B$7,30,"")</f>
        <v/>
      </c>
      <c r="B40" s="11">
        <f>IF(30&lt;=$B$7,$B$4*(1+$B$6/100)^29,"")</f>
        <v/>
      </c>
      <c r="C40" s="11">
        <f>IF(30&lt;=$B$7,$B$4*(1+$B$6/100*29),"")</f>
        <v/>
      </c>
      <c r="D40" s="11">
        <f>IF(30&lt;=$B$7,B40-C40,"")</f>
        <v/>
      </c>
      <c r="E40" s="11">
        <f>IF(30&lt;=$B$7,B40*12,"")</f>
        <v/>
      </c>
      <c r="F40" s="11">
        <f>IF(30&lt;=$B$7,C40*12,"")</f>
        <v/>
      </c>
    </row>
    <row r="42">
      <c r="A42" s="4" t="inlineStr">
        <is>
          <t>Gap in the final year, per period</t>
        </is>
      </c>
      <c r="B42" s="11">
        <f>LOOKUP(2,1/(D11:D40&lt;&gt;""),D11:D40)</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2026-09-04T13:11:40Z</dcterms:created>
  <dcterms:modified xmlns:dcterms="http://purl.org/dc/terms/" xmlns:xsi="http://www.w3.org/2001/XMLSchema-instance" xsi:type="dcterms:W3CDTF">2026-09-04T13:11:40Z</dcterms:modified>
</cp:coreProperties>
</file>